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defaultThemeVersion="166925"/>
  <mc:AlternateContent xmlns:mc="http://schemas.openxmlformats.org/markup-compatibility/2006">
    <mc:Choice Requires="x15">
      <x15ac:absPath xmlns:x15ac="http://schemas.microsoft.com/office/spreadsheetml/2010/11/ac" url="/Users/omerfarooq_1/Desktop/FKM/FKM Clients/GoS/5 MGD/TA/RFP Docs/RFP and Concession Agreement /Final RFP Package/"/>
    </mc:Choice>
  </mc:AlternateContent>
  <xr:revisionPtr revIDLastSave="0" documentId="13_ncr:1_{F2E1CBF5-6550-C34A-AA3C-A32E91AAA2BC}" xr6:coauthVersionLast="47" xr6:coauthVersionMax="47" xr10:uidLastSave="{00000000-0000-0000-0000-000000000000}"/>
  <bookViews>
    <workbookView xWindow="0" yWindow="500" windowWidth="23260" windowHeight="14020" xr2:uid="{8BA7B7B5-52C3-48D7-8718-32C4994BFD4D}"/>
  </bookViews>
  <sheets>
    <sheet name="Bid Price" sheetId="1" r:id="rId1"/>
    <sheet name="O&amp;M Cost" sheetId="3" r:id="rId2"/>
    <sheet name="BWR (GoS Share Factor)" sheetId="4" r:id="rId3"/>
    <sheet name="Debt Workings" sheetId="2" state="veryHidden" r:id="rId4"/>
  </sheets>
  <externalReferences>
    <externalReference r:id="rId5"/>
  </externalReferences>
  <definedNames>
    <definedName name="CIQWBGuid" hidden="1">"466945d1-d581-40d3-a0a8-2827bbdc3406"</definedName>
    <definedName name="CIQWBInfo" hidden="1">"{ ""CIQVersion"":""9.51.3510.3078"" }"</definedName>
    <definedName name="FF_Check">'Debt Workings'!$B$21</definedName>
    <definedName name="FF_COPY">'Debt Workings'!$C$19:$F$19</definedName>
    <definedName name="FF_PASTE">'Debt Workings'!$C$20:$F$20</definedName>
    <definedName name="IDC_Check">'Debt Workings'!$B$18</definedName>
    <definedName name="IDC_Copy">'Debt Workings'!$C$16:$F$16</definedName>
    <definedName name="IDC_Paste">'Debt Workings'!$C$17:$F$17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7" i="1" l="1"/>
  <c r="P31" i="1"/>
  <c r="P30" i="1"/>
  <c r="P29" i="1"/>
  <c r="P28" i="1"/>
  <c r="P27" i="1"/>
  <c r="P26" i="1"/>
  <c r="P25" i="1"/>
  <c r="P24" i="1"/>
  <c r="P23" i="1"/>
  <c r="P22" i="1"/>
  <c r="P21" i="1"/>
  <c r="P20" i="1"/>
  <c r="P19" i="1"/>
  <c r="P18" i="1"/>
  <c r="P17" i="1"/>
  <c r="P16" i="1"/>
  <c r="P15" i="1"/>
  <c r="P14" i="1"/>
  <c r="P13" i="1"/>
  <c r="P12" i="1"/>
  <c r="P11" i="1"/>
  <c r="P10" i="1"/>
  <c r="P9" i="1"/>
  <c r="P8" i="1"/>
  <c r="P7" i="1"/>
  <c r="H30" i="3"/>
  <c r="H29" i="3"/>
  <c r="H28" i="3"/>
  <c r="H27" i="3"/>
  <c r="H26" i="3"/>
  <c r="H25" i="3"/>
  <c r="H24" i="3"/>
  <c r="H23" i="3"/>
  <c r="H22" i="3"/>
  <c r="H21" i="3"/>
  <c r="H20" i="3"/>
  <c r="H19" i="3"/>
  <c r="H18" i="3"/>
  <c r="H17" i="3"/>
  <c r="H16" i="3"/>
  <c r="H15" i="3"/>
  <c r="H14" i="3"/>
  <c r="H13" i="3"/>
  <c r="H12" i="3"/>
  <c r="H11" i="3"/>
  <c r="H10" i="3"/>
  <c r="H9" i="3"/>
  <c r="H8" i="3"/>
  <c r="H7" i="3"/>
  <c r="H6" i="3"/>
  <c r="B17" i="2"/>
  <c r="T8" i="1" l="1"/>
  <c r="T9" i="1" s="1"/>
  <c r="T10" i="1" s="1"/>
  <c r="T11" i="1" s="1"/>
  <c r="T12" i="1" s="1"/>
  <c r="T13" i="1" s="1"/>
  <c r="T14" i="1" s="1"/>
  <c r="T15" i="1" s="1"/>
  <c r="T16" i="1" s="1"/>
  <c r="T17" i="1" s="1"/>
  <c r="T18" i="1" s="1"/>
  <c r="T19" i="1" s="1"/>
  <c r="T20" i="1" s="1"/>
  <c r="T21" i="1" s="1"/>
  <c r="T22" i="1" s="1"/>
  <c r="T23" i="1" s="1"/>
  <c r="T24" i="1" s="1"/>
  <c r="T25" i="1" s="1"/>
  <c r="T26" i="1" s="1"/>
  <c r="T27" i="1" s="1"/>
  <c r="T28" i="1" s="1"/>
  <c r="T29" i="1" s="1"/>
  <c r="T30" i="1" s="1"/>
  <c r="T31" i="1" s="1"/>
  <c r="B12" i="3" l="1"/>
  <c r="C15" i="1" s="1"/>
  <c r="B22" i="3"/>
  <c r="C16" i="1" s="1"/>
  <c r="B20" i="2"/>
  <c r="C10" i="1" s="1"/>
  <c r="C11" i="1"/>
  <c r="D3" i="2" l="1"/>
  <c r="C3" i="2" s="1"/>
  <c r="U7" i="1" l="1"/>
  <c r="U31" i="1"/>
  <c r="U18" i="1" l="1"/>
  <c r="U30" i="1"/>
  <c r="U20" i="1"/>
  <c r="U15" i="1"/>
  <c r="U27" i="1"/>
  <c r="U16" i="1"/>
  <c r="U28" i="1"/>
  <c r="U17" i="1"/>
  <c r="U29" i="1"/>
  <c r="U19" i="1"/>
  <c r="U8" i="1"/>
  <c r="U9" i="1"/>
  <c r="U21" i="1"/>
  <c r="U10" i="1"/>
  <c r="U22" i="1"/>
  <c r="U11" i="1"/>
  <c r="U23" i="1"/>
  <c r="U12" i="1"/>
  <c r="U24" i="1"/>
  <c r="U13" i="1"/>
  <c r="U25" i="1"/>
  <c r="U14" i="1"/>
  <c r="U26" i="1"/>
  <c r="XFA18" i="2"/>
  <c r="XFA19" i="2" s="1"/>
  <c r="XFA20" i="2" s="1"/>
  <c r="XFA21" i="2" s="1"/>
  <c r="XFA13" i="2"/>
  <c r="XFA14" i="2" l="1"/>
  <c r="XFA15" i="2" s="1"/>
  <c r="F6" i="1"/>
  <c r="P59" i="1"/>
  <c r="P58" i="1"/>
  <c r="P57" i="1"/>
  <c r="P56" i="1"/>
  <c r="P55" i="1"/>
  <c r="P54" i="1"/>
  <c r="P53" i="1"/>
  <c r="P52" i="1"/>
  <c r="P51" i="1"/>
  <c r="P50" i="1"/>
  <c r="P49" i="1"/>
  <c r="P48" i="1"/>
  <c r="P47" i="1"/>
  <c r="P46" i="1"/>
  <c r="P45" i="1"/>
  <c r="P44" i="1"/>
  <c r="P43" i="1"/>
  <c r="P42" i="1"/>
  <c r="P41" i="1"/>
  <c r="P40" i="1"/>
  <c r="P39" i="1"/>
  <c r="P38" i="1"/>
  <c r="P37" i="1"/>
  <c r="P36" i="1"/>
  <c r="P35" i="1"/>
  <c r="C19" i="1"/>
  <c r="N20" i="1" s="1"/>
  <c r="N48" i="1" s="1"/>
  <c r="C9" i="1"/>
  <c r="I36" i="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F3" i="2"/>
  <c r="G3" i="2" s="1"/>
  <c r="H3" i="2" s="1"/>
  <c r="I3" i="2" s="1"/>
  <c r="J3" i="2" s="1"/>
  <c r="K3" i="2" s="1"/>
  <c r="L3" i="2" s="1"/>
  <c r="M3" i="2" s="1"/>
  <c r="N3" i="2" s="1"/>
  <c r="O3" i="2" s="1"/>
  <c r="P3" i="2" s="1"/>
  <c r="Q3" i="2" s="1"/>
  <c r="R3" i="2" s="1"/>
  <c r="S3" i="2" s="1"/>
  <c r="T3" i="2" s="1"/>
  <c r="U3" i="2" s="1"/>
  <c r="V3" i="2" s="1"/>
  <c r="W3" i="2" s="1"/>
  <c r="X3" i="2" s="1"/>
  <c r="Y3" i="2" s="1"/>
  <c r="Z3" i="2" s="1"/>
  <c r="AA3" i="2" s="1"/>
  <c r="AB3" i="2" s="1"/>
  <c r="AC3" i="2" s="1"/>
  <c r="I8" i="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M7" i="1"/>
  <c r="M35" i="1" s="1"/>
  <c r="L7" i="1"/>
  <c r="L35" i="1" s="1"/>
  <c r="C17" i="1"/>
  <c r="N12" i="1" l="1"/>
  <c r="N40" i="1" s="1"/>
  <c r="N9" i="1"/>
  <c r="N37" i="1" s="1"/>
  <c r="N10" i="1"/>
  <c r="N38" i="1" s="1"/>
  <c r="N11" i="1"/>
  <c r="N39" i="1" s="1"/>
  <c r="N13" i="1"/>
  <c r="N41" i="1" s="1"/>
  <c r="N21" i="1"/>
  <c r="N49" i="1" s="1"/>
  <c r="N22" i="1"/>
  <c r="N50" i="1" s="1"/>
  <c r="N23" i="1"/>
  <c r="N51" i="1" s="1"/>
  <c r="M8" i="1"/>
  <c r="N24" i="1"/>
  <c r="N52" i="1" s="1"/>
  <c r="N25" i="1"/>
  <c r="N53" i="1" s="1"/>
  <c r="N17" i="1"/>
  <c r="N45" i="1" s="1"/>
  <c r="N18" i="1"/>
  <c r="N46" i="1" s="1"/>
  <c r="N30" i="1"/>
  <c r="N58" i="1" s="1"/>
  <c r="N27" i="1"/>
  <c r="N55" i="1" s="1"/>
  <c r="N7" i="1"/>
  <c r="N35" i="1" s="1"/>
  <c r="N19" i="1"/>
  <c r="N47" i="1" s="1"/>
  <c r="N31" i="1"/>
  <c r="N59" i="1" s="1"/>
  <c r="N14" i="1"/>
  <c r="N42" i="1" s="1"/>
  <c r="N26" i="1"/>
  <c r="N54" i="1" s="1"/>
  <c r="N15" i="1"/>
  <c r="N43" i="1" s="1"/>
  <c r="N16" i="1"/>
  <c r="N44" i="1" s="1"/>
  <c r="N28" i="1"/>
  <c r="N56" i="1" s="1"/>
  <c r="N29" i="1"/>
  <c r="N57" i="1" s="1"/>
  <c r="N8" i="1"/>
  <c r="N36" i="1" s="1"/>
  <c r="L8" i="1"/>
  <c r="L36" i="1" s="1"/>
  <c r="M9" i="1" l="1"/>
  <c r="M36" i="1"/>
  <c r="L9" i="1"/>
  <c r="L37" i="1" s="1"/>
  <c r="M10" i="1" l="1"/>
  <c r="M37" i="1"/>
  <c r="L10" i="1"/>
  <c r="L38" i="1" s="1"/>
  <c r="M11" i="1" l="1"/>
  <c r="M38" i="1"/>
  <c r="L11" i="1"/>
  <c r="L39" i="1" s="1"/>
  <c r="M12" i="1" l="1"/>
  <c r="M39" i="1"/>
  <c r="L12" i="1"/>
  <c r="L40" i="1" s="1"/>
  <c r="M13" i="1" l="1"/>
  <c r="M40" i="1"/>
  <c r="L13" i="1"/>
  <c r="L41" i="1" s="1"/>
  <c r="M14" i="1" l="1"/>
  <c r="M41" i="1"/>
  <c r="L14" i="1"/>
  <c r="L42" i="1" s="1"/>
  <c r="M15" i="1" l="1"/>
  <c r="M42" i="1"/>
  <c r="L15" i="1"/>
  <c r="L43" i="1" s="1"/>
  <c r="M16" i="1" l="1"/>
  <c r="M43" i="1"/>
  <c r="L16" i="1"/>
  <c r="L44" i="1" s="1"/>
  <c r="M17" i="1" l="1"/>
  <c r="M44" i="1"/>
  <c r="L17" i="1"/>
  <c r="L45" i="1" s="1"/>
  <c r="M18" i="1" l="1"/>
  <c r="M45" i="1"/>
  <c r="L18" i="1"/>
  <c r="L46" i="1" s="1"/>
  <c r="M19" i="1" l="1"/>
  <c r="M46" i="1"/>
  <c r="L19" i="1"/>
  <c r="L47" i="1" s="1"/>
  <c r="M20" i="1" l="1"/>
  <c r="M47" i="1"/>
  <c r="L20" i="1"/>
  <c r="L48" i="1" s="1"/>
  <c r="M21" i="1" l="1"/>
  <c r="M48" i="1"/>
  <c r="L21" i="1"/>
  <c r="L49" i="1" s="1"/>
  <c r="M22" i="1" l="1"/>
  <c r="M49" i="1"/>
  <c r="L22" i="1"/>
  <c r="L50" i="1" s="1"/>
  <c r="M23" i="1" l="1"/>
  <c r="M50" i="1"/>
  <c r="L23" i="1"/>
  <c r="L51" i="1" s="1"/>
  <c r="M24" i="1" l="1"/>
  <c r="M51" i="1"/>
  <c r="L24" i="1"/>
  <c r="L52" i="1" s="1"/>
  <c r="M25" i="1" l="1"/>
  <c r="M52" i="1"/>
  <c r="L25" i="1"/>
  <c r="L53" i="1" s="1"/>
  <c r="M53" i="1" l="1"/>
  <c r="M26" i="1"/>
  <c r="L26" i="1"/>
  <c r="L54" i="1" s="1"/>
  <c r="M54" i="1" l="1"/>
  <c r="M27" i="1"/>
  <c r="L27" i="1"/>
  <c r="L55" i="1" s="1"/>
  <c r="M55" i="1" l="1"/>
  <c r="M28" i="1"/>
  <c r="L28" i="1"/>
  <c r="L56" i="1" s="1"/>
  <c r="M56" i="1" l="1"/>
  <c r="M29" i="1"/>
  <c r="L29" i="1"/>
  <c r="L57" i="1" s="1"/>
  <c r="M57" i="1" l="1"/>
  <c r="M30" i="1"/>
  <c r="L30" i="1"/>
  <c r="L58" i="1" s="1"/>
  <c r="M58" i="1" l="1"/>
  <c r="M31" i="1"/>
  <c r="M59" i="1" s="1"/>
  <c r="L31" i="1"/>
  <c r="L59" i="1" s="1"/>
  <c r="F12" i="1" l="1"/>
  <c r="V5" i="2" l="1"/>
  <c r="U5" i="2"/>
  <c r="Z5" i="2"/>
  <c r="T5" i="2"/>
  <c r="Y5" i="2"/>
  <c r="W5" i="2"/>
  <c r="S5" i="2"/>
  <c r="R5" i="2"/>
  <c r="AC5" i="2"/>
  <c r="Q5" i="2"/>
  <c r="AB5" i="2"/>
  <c r="P5" i="2"/>
  <c r="AA5" i="2"/>
  <c r="X5" i="2"/>
  <c r="N60" i="1" l="1"/>
  <c r="P60" i="1"/>
  <c r="L60" i="1"/>
  <c r="M60" i="1"/>
  <c r="C12" i="1"/>
  <c r="G5" i="1" s="1"/>
  <c r="D19" i="2" l="1"/>
  <c r="F19" i="2"/>
  <c r="E19" i="2"/>
  <c r="C19" i="2"/>
  <c r="F13" i="2"/>
  <c r="D13" i="2"/>
  <c r="C13" i="2"/>
  <c r="C14" i="2" s="1"/>
  <c r="E13" i="2"/>
  <c r="B1" i="2"/>
  <c r="G6" i="1"/>
  <c r="C16" i="2" l="1"/>
  <c r="B19" i="2"/>
  <c r="B21" i="2" s="1"/>
  <c r="O13" i="1"/>
  <c r="O16" i="1"/>
  <c r="O19" i="1"/>
  <c r="O22" i="1"/>
  <c r="O25" i="1"/>
  <c r="O28" i="1"/>
  <c r="O31" i="1"/>
  <c r="O27" i="1"/>
  <c r="O8" i="1"/>
  <c r="O11" i="1"/>
  <c r="O30" i="1"/>
  <c r="O14" i="1"/>
  <c r="O17" i="1"/>
  <c r="O20" i="1"/>
  <c r="O23" i="1"/>
  <c r="O26" i="1"/>
  <c r="O29" i="1"/>
  <c r="O9" i="1"/>
  <c r="O12" i="1"/>
  <c r="O15" i="1"/>
  <c r="O18" i="1"/>
  <c r="O21" i="1"/>
  <c r="O24" i="1"/>
  <c r="O7" i="1"/>
  <c r="O10" i="1"/>
  <c r="E4" i="2"/>
  <c r="F6" i="2"/>
  <c r="R6" i="2"/>
  <c r="X6" i="2"/>
  <c r="L5" i="2"/>
  <c r="E5" i="2"/>
  <c r="G6" i="2"/>
  <c r="S6" i="2"/>
  <c r="Z6" i="2"/>
  <c r="F5" i="2"/>
  <c r="H6" i="2"/>
  <c r="T6" i="2"/>
  <c r="G5" i="2"/>
  <c r="I6" i="2"/>
  <c r="U6" i="2"/>
  <c r="L6" i="2"/>
  <c r="O6" i="2"/>
  <c r="AA6" i="2"/>
  <c r="H5" i="2"/>
  <c r="J6" i="2"/>
  <c r="V6" i="2"/>
  <c r="I5" i="2"/>
  <c r="K6" i="2"/>
  <c r="W6" i="2"/>
  <c r="J5" i="2"/>
  <c r="K5" i="2"/>
  <c r="M6" i="2"/>
  <c r="Y6" i="2"/>
  <c r="E6" i="2"/>
  <c r="AC6" i="2"/>
  <c r="N6" i="2"/>
  <c r="M5" i="2"/>
  <c r="N5" i="2"/>
  <c r="P6" i="2"/>
  <c r="AB6" i="2"/>
  <c r="Q6" i="2"/>
  <c r="D12" i="2"/>
  <c r="D14" i="2" s="1"/>
  <c r="D16" i="2" s="1"/>
  <c r="G7" i="1"/>
  <c r="O39" i="1" l="1"/>
  <c r="O52" i="1"/>
  <c r="O36" i="1"/>
  <c r="O37" i="1"/>
  <c r="O53" i="1"/>
  <c r="O35" i="1"/>
  <c r="O58" i="1"/>
  <c r="O46" i="1"/>
  <c r="O55" i="1"/>
  <c r="O40" i="1"/>
  <c r="O59" i="1"/>
  <c r="O56" i="1"/>
  <c r="O57" i="1"/>
  <c r="O54" i="1"/>
  <c r="O50" i="1"/>
  <c r="O42" i="1"/>
  <c r="O49" i="1"/>
  <c r="O43" i="1"/>
  <c r="O51" i="1"/>
  <c r="O47" i="1"/>
  <c r="O48" i="1"/>
  <c r="O44" i="1"/>
  <c r="O38" i="1"/>
  <c r="O45" i="1"/>
  <c r="O41" i="1"/>
  <c r="I8" i="2"/>
  <c r="F8" i="2"/>
  <c r="L8" i="2"/>
  <c r="M8" i="2"/>
  <c r="N8" i="2"/>
  <c r="E8" i="2"/>
  <c r="AB8" i="2"/>
  <c r="Z8" i="2"/>
  <c r="V8" i="2"/>
  <c r="AA8" i="2"/>
  <c r="X8" i="2"/>
  <c r="P8" i="2"/>
  <c r="S8" i="2"/>
  <c r="R8" i="2"/>
  <c r="H8" i="2"/>
  <c r="AC8" i="2"/>
  <c r="U8" i="2"/>
  <c r="Y8" i="2"/>
  <c r="J8" i="2"/>
  <c r="J7" i="1" a="1"/>
  <c r="O8" i="2"/>
  <c r="K8" i="2"/>
  <c r="E12" i="2"/>
  <c r="G8" i="2"/>
  <c r="E7" i="2"/>
  <c r="F4" i="2" s="1"/>
  <c r="F7" i="2" s="1"/>
  <c r="G4" i="2" s="1"/>
  <c r="G7" i="2" s="1"/>
  <c r="H4" i="2" s="1"/>
  <c r="H7" i="2" s="1"/>
  <c r="I4" i="2" s="1"/>
  <c r="I7" i="2" s="1"/>
  <c r="J4" i="2" s="1"/>
  <c r="J7" i="2" s="1"/>
  <c r="K4" i="2" s="1"/>
  <c r="K7" i="2" s="1"/>
  <c r="L4" i="2" s="1"/>
  <c r="L7" i="2" s="1"/>
  <c r="M4" i="2" s="1"/>
  <c r="M7" i="2" s="1"/>
  <c r="N4" i="2" s="1"/>
  <c r="N7" i="2" s="1"/>
  <c r="O4" i="2" s="1"/>
  <c r="O7" i="2" s="1"/>
  <c r="P4" i="2" s="1"/>
  <c r="P7" i="2" s="1"/>
  <c r="Q4" i="2" s="1"/>
  <c r="Q7" i="2" s="1"/>
  <c r="R4" i="2" s="1"/>
  <c r="R7" i="2" s="1"/>
  <c r="S4" i="2" s="1"/>
  <c r="S7" i="2" s="1"/>
  <c r="T4" i="2" s="1"/>
  <c r="T7" i="2" s="1"/>
  <c r="U4" i="2" s="1"/>
  <c r="U7" i="2" s="1"/>
  <c r="V4" i="2" s="1"/>
  <c r="V7" i="2" s="1"/>
  <c r="W4" i="2" s="1"/>
  <c r="W7" i="2" s="1"/>
  <c r="X4" i="2" s="1"/>
  <c r="X7" i="2" s="1"/>
  <c r="Y4" i="2" s="1"/>
  <c r="Y7" i="2" s="1"/>
  <c r="Z4" i="2" s="1"/>
  <c r="Z7" i="2" s="1"/>
  <c r="AA4" i="2" s="1"/>
  <c r="AA7" i="2" s="1"/>
  <c r="AB4" i="2" s="1"/>
  <c r="AB7" i="2" s="1"/>
  <c r="AC4" i="2" s="1"/>
  <c r="AC7" i="2" s="1"/>
  <c r="Q8" i="2"/>
  <c r="W8" i="2"/>
  <c r="T8" i="2"/>
  <c r="O60" i="1" l="1"/>
  <c r="K7" i="1" a="1"/>
  <c r="K29" i="1" s="1"/>
  <c r="K57" i="1" s="1"/>
  <c r="E14" i="2"/>
  <c r="E16" i="2" s="1"/>
  <c r="J8" i="1"/>
  <c r="J11" i="1"/>
  <c r="J14" i="1"/>
  <c r="J17" i="1"/>
  <c r="J20" i="1"/>
  <c r="J23" i="1"/>
  <c r="J26" i="1"/>
  <c r="J29" i="1"/>
  <c r="J9" i="1"/>
  <c r="J12" i="1"/>
  <c r="J15" i="1"/>
  <c r="J18" i="1"/>
  <c r="J21" i="1"/>
  <c r="J7" i="1"/>
  <c r="J24" i="1"/>
  <c r="J27" i="1"/>
  <c r="J30" i="1"/>
  <c r="J10" i="1"/>
  <c r="J13" i="1"/>
  <c r="J16" i="1"/>
  <c r="J19" i="1"/>
  <c r="J22" i="1"/>
  <c r="J25" i="1"/>
  <c r="J28" i="1"/>
  <c r="J31" i="1"/>
  <c r="X29" i="1" l="1"/>
  <c r="Y29" i="1"/>
  <c r="F12" i="2"/>
  <c r="F14" i="2" s="1"/>
  <c r="F16" i="2" s="1"/>
  <c r="B16" i="2" s="1"/>
  <c r="B18" i="2" s="1"/>
  <c r="K7" i="1"/>
  <c r="K35" i="1" s="1"/>
  <c r="K13" i="1"/>
  <c r="K41" i="1" s="1"/>
  <c r="K10" i="1"/>
  <c r="K38" i="1" s="1"/>
  <c r="K30" i="1"/>
  <c r="K58" i="1" s="1"/>
  <c r="K20" i="1"/>
  <c r="K48" i="1" s="1"/>
  <c r="K27" i="1"/>
  <c r="K55" i="1" s="1"/>
  <c r="K23" i="1"/>
  <c r="K51" i="1" s="1"/>
  <c r="K17" i="1"/>
  <c r="K45" i="1" s="1"/>
  <c r="K26" i="1"/>
  <c r="K54" i="1" s="1"/>
  <c r="K14" i="1"/>
  <c r="K42" i="1" s="1"/>
  <c r="K25" i="1"/>
  <c r="K53" i="1" s="1"/>
  <c r="K19" i="1"/>
  <c r="K47" i="1" s="1"/>
  <c r="K9" i="1"/>
  <c r="K37" i="1" s="1"/>
  <c r="K22" i="1"/>
  <c r="K50" i="1" s="1"/>
  <c r="K24" i="1"/>
  <c r="K52" i="1" s="1"/>
  <c r="K11" i="1"/>
  <c r="K39" i="1" s="1"/>
  <c r="K21" i="1"/>
  <c r="K49" i="1" s="1"/>
  <c r="K8" i="1"/>
  <c r="K36" i="1" s="1"/>
  <c r="K18" i="1"/>
  <c r="K46" i="1" s="1"/>
  <c r="K31" i="1"/>
  <c r="K59" i="1" s="1"/>
  <c r="K15" i="1"/>
  <c r="K43" i="1" s="1"/>
  <c r="K28" i="1"/>
  <c r="K56" i="1" s="1"/>
  <c r="K12" i="1"/>
  <c r="K40" i="1" s="1"/>
  <c r="K16" i="1"/>
  <c r="K44" i="1" s="1"/>
  <c r="J44" i="1"/>
  <c r="Q29" i="1"/>
  <c r="Q57" i="1" s="1"/>
  <c r="J57" i="1"/>
  <c r="J54" i="1"/>
  <c r="J52" i="1"/>
  <c r="J35" i="1"/>
  <c r="J46" i="1"/>
  <c r="J38" i="1"/>
  <c r="J48" i="1"/>
  <c r="J42" i="1"/>
  <c r="J59" i="1"/>
  <c r="J36" i="1"/>
  <c r="J41" i="1"/>
  <c r="J55" i="1"/>
  <c r="J39" i="1"/>
  <c r="J50" i="1"/>
  <c r="J40" i="1"/>
  <c r="J51" i="1"/>
  <c r="J58" i="1"/>
  <c r="J45" i="1"/>
  <c r="J49" i="1"/>
  <c r="J56" i="1"/>
  <c r="J53" i="1"/>
  <c r="J43" i="1"/>
  <c r="J47" i="1"/>
  <c r="J37" i="1"/>
  <c r="Y8" i="1" l="1"/>
  <c r="Y24" i="1"/>
  <c r="Y10" i="1"/>
  <c r="X10" i="1"/>
  <c r="X24" i="1"/>
  <c r="Y14" i="1"/>
  <c r="Y13" i="1"/>
  <c r="Y18" i="1"/>
  <c r="X18" i="1"/>
  <c r="Z29" i="1"/>
  <c r="Y21" i="1"/>
  <c r="Y9" i="1"/>
  <c r="X9" i="1"/>
  <c r="X14" i="1"/>
  <c r="Y19" i="1"/>
  <c r="X19" i="1"/>
  <c r="Y22" i="1"/>
  <c r="Y23" i="1"/>
  <c r="X22" i="1"/>
  <c r="X23" i="1"/>
  <c r="Y25" i="1"/>
  <c r="X8" i="1"/>
  <c r="X26" i="1"/>
  <c r="Y15" i="1"/>
  <c r="X21" i="1"/>
  <c r="X31" i="1"/>
  <c r="X27" i="1"/>
  <c r="X13" i="1"/>
  <c r="X15" i="1"/>
  <c r="X17" i="1"/>
  <c r="Y27" i="1"/>
  <c r="Y11" i="1"/>
  <c r="Y20" i="1"/>
  <c r="X11" i="1"/>
  <c r="X20" i="1"/>
  <c r="X25" i="1"/>
  <c r="Y26" i="1"/>
  <c r="Y12" i="1"/>
  <c r="Y7" i="1"/>
  <c r="Y30" i="1"/>
  <c r="Y16" i="1"/>
  <c r="Y28" i="1"/>
  <c r="Y17" i="1"/>
  <c r="Y31" i="1"/>
  <c r="X12" i="1"/>
  <c r="X7" i="1"/>
  <c r="X30" i="1"/>
  <c r="X16" i="1"/>
  <c r="X28" i="1"/>
  <c r="Q13" i="1"/>
  <c r="Q41" i="1" s="1"/>
  <c r="Q7" i="1"/>
  <c r="Q35" i="1" s="1"/>
  <c r="Q22" i="1"/>
  <c r="Q50" i="1" s="1"/>
  <c r="Q20" i="1"/>
  <c r="Q48" i="1" s="1"/>
  <c r="Q10" i="1"/>
  <c r="Q38" i="1" s="1"/>
  <c r="Q27" i="1"/>
  <c r="Q55" i="1" s="1"/>
  <c r="Q30" i="1"/>
  <c r="Q58" i="1" s="1"/>
  <c r="Q8" i="1"/>
  <c r="Q36" i="1" s="1"/>
  <c r="Q17" i="1"/>
  <c r="Q45" i="1" s="1"/>
  <c r="Q23" i="1"/>
  <c r="Q51" i="1" s="1"/>
  <c r="Q31" i="1"/>
  <c r="Q59" i="1" s="1"/>
  <c r="Q14" i="1"/>
  <c r="Q42" i="1" s="1"/>
  <c r="Q16" i="1"/>
  <c r="Q44" i="1" s="1"/>
  <c r="Q9" i="1"/>
  <c r="Q37" i="1" s="1"/>
  <c r="Q24" i="1"/>
  <c r="Q52" i="1" s="1"/>
  <c r="K60" i="1"/>
  <c r="Q19" i="1"/>
  <c r="Q47" i="1" s="1"/>
  <c r="Q25" i="1"/>
  <c r="Q53" i="1" s="1"/>
  <c r="Q12" i="1"/>
  <c r="Q40" i="1" s="1"/>
  <c r="Q26" i="1"/>
  <c r="Q54" i="1" s="1"/>
  <c r="Q28" i="1"/>
  <c r="Q56" i="1" s="1"/>
  <c r="Q11" i="1"/>
  <c r="Q39" i="1" s="1"/>
  <c r="Q21" i="1"/>
  <c r="Q49" i="1" s="1"/>
  <c r="Q15" i="1"/>
  <c r="Q43" i="1" s="1"/>
  <c r="Q18" i="1"/>
  <c r="Q46" i="1" s="1"/>
  <c r="J60" i="1"/>
  <c r="Z13" i="1" l="1"/>
  <c r="Z8" i="1"/>
  <c r="Z25" i="1"/>
  <c r="Z9" i="1"/>
  <c r="Z22" i="1"/>
  <c r="Z7" i="1"/>
  <c r="Z10" i="1"/>
  <c r="Z14" i="1"/>
  <c r="Z24" i="1"/>
  <c r="Z19" i="1"/>
  <c r="Z26" i="1"/>
  <c r="Z21" i="1"/>
  <c r="Z23" i="1"/>
  <c r="Z12" i="1"/>
  <c r="Z30" i="1"/>
  <c r="Z18" i="1"/>
  <c r="Z15" i="1"/>
  <c r="Z17" i="1"/>
  <c r="Z20" i="1"/>
  <c r="Z28" i="1"/>
  <c r="Z11" i="1"/>
  <c r="Z31" i="1"/>
  <c r="Z16" i="1"/>
  <c r="Z27" i="1"/>
  <c r="Q60" i="1"/>
  <c r="G23" i="1" s="1"/>
</calcChain>
</file>

<file path=xl/sharedStrings.xml><?xml version="1.0" encoding="utf-8"?>
<sst xmlns="http://schemas.openxmlformats.org/spreadsheetml/2006/main" count="198" uniqueCount="147">
  <si>
    <t>5MGD Desalination</t>
  </si>
  <si>
    <t>Bid Sheet</t>
  </si>
  <si>
    <t>EPC Cost</t>
  </si>
  <si>
    <t>O&amp;M Cost</t>
  </si>
  <si>
    <t>Insurance</t>
  </si>
  <si>
    <t>Financing Fee</t>
  </si>
  <si>
    <t>IDC</t>
  </si>
  <si>
    <t>Financing</t>
  </si>
  <si>
    <t>Debt</t>
  </si>
  <si>
    <t>Equity</t>
  </si>
  <si>
    <t>RoE</t>
  </si>
  <si>
    <t>Construction Period</t>
  </si>
  <si>
    <t>Operation Period</t>
  </si>
  <si>
    <t>Years</t>
  </si>
  <si>
    <t>Gallons/Day</t>
  </si>
  <si>
    <t>Financing Terms</t>
  </si>
  <si>
    <t>Year</t>
  </si>
  <si>
    <t>KIBOR</t>
  </si>
  <si>
    <t>All in Rate</t>
  </si>
  <si>
    <t>Total Project Cost</t>
  </si>
  <si>
    <t>Project Cost Components</t>
  </si>
  <si>
    <t>Closing</t>
  </si>
  <si>
    <t>Debt Tenor</t>
  </si>
  <si>
    <t>years</t>
  </si>
  <si>
    <t>Total O&amp;M</t>
  </si>
  <si>
    <t>Principal Repayment</t>
  </si>
  <si>
    <t>Interest</t>
  </si>
  <si>
    <t>Variable O&amp;M</t>
  </si>
  <si>
    <t>Fixed O&amp;M</t>
  </si>
  <si>
    <t>Total Payment</t>
  </si>
  <si>
    <t>Principal Payment</t>
  </si>
  <si>
    <t>Opening Balance</t>
  </si>
  <si>
    <t>ROE</t>
  </si>
  <si>
    <t>Tariff Calculation</t>
  </si>
  <si>
    <t>Non-EPC Costs</t>
  </si>
  <si>
    <t>SPV Costs</t>
  </si>
  <si>
    <t>IE/IA Costs</t>
  </si>
  <si>
    <t>WACC</t>
  </si>
  <si>
    <t>Variable O&amp;M (without Electricity Charge)</t>
  </si>
  <si>
    <t>Operational Days</t>
  </si>
  <si>
    <t>days</t>
  </si>
  <si>
    <t>Return Expectation</t>
  </si>
  <si>
    <t>Tariff PKR / Gallon</t>
  </si>
  <si>
    <t>Levelized</t>
  </si>
  <si>
    <t>Net Water Tariff</t>
  </si>
  <si>
    <t>Adjustment</t>
  </si>
  <si>
    <t>Bid Price</t>
  </si>
  <si>
    <t>Electricity Cost</t>
  </si>
  <si>
    <t>KwH</t>
  </si>
  <si>
    <t>KwH Total Energy Consumption</t>
  </si>
  <si>
    <t>MW</t>
  </si>
  <si>
    <t>KW</t>
  </si>
  <si>
    <t>Passthrough Items</t>
  </si>
  <si>
    <t>Electricity Charge per kWh</t>
  </si>
  <si>
    <t>N-CPI</t>
  </si>
  <si>
    <t>Taxes (excluding all taxes applied on Bottled Water)</t>
  </si>
  <si>
    <t>Spread on KIBOR (Capped at 1.50%)</t>
  </si>
  <si>
    <t>Amounts (PKR)</t>
  </si>
  <si>
    <t>Ratio (%)</t>
  </si>
  <si>
    <t>Opening</t>
  </si>
  <si>
    <t>Drawdown</t>
  </si>
  <si>
    <t>IDC - Copy</t>
  </si>
  <si>
    <t>IDC - Paste</t>
  </si>
  <si>
    <t>Financing Fee - Copy</t>
  </si>
  <si>
    <t>Financing Fee - Paste</t>
  </si>
  <si>
    <t>Half Yearly Period</t>
  </si>
  <si>
    <t>PKR/ Gallon</t>
  </si>
  <si>
    <t>Schedule of O&amp;M Costs</t>
  </si>
  <si>
    <t>Labor</t>
  </si>
  <si>
    <t>Health &amp; Safety</t>
  </si>
  <si>
    <t>Fixed Maintenance Cost</t>
  </si>
  <si>
    <t>Administrative Costs</t>
  </si>
  <si>
    <t>Total Fixed O&amp;M</t>
  </si>
  <si>
    <t>Other Cost 1</t>
  </si>
  <si>
    <t>Other Cost 2</t>
  </si>
  <si>
    <t>Cost 1</t>
  </si>
  <si>
    <t>Cost 2</t>
  </si>
  <si>
    <t>Cost 3</t>
  </si>
  <si>
    <t>Cost 4</t>
  </si>
  <si>
    <t>Variable Overheads</t>
  </si>
  <si>
    <t>Items</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</si>
  <si>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</si>
  <si>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</si>
  <si>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</si>
  <si>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</si>
  <si>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</si>
  <si>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</si>
  <si>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</si>
  <si>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</si>
  <si>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</si>
  <si>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</si>
  <si>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</si>
  <si>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</si>
  <si>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</si>
  <si>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</si>
  <si>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</si>
  <si>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</si>
  <si>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</si>
  <si>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</si>
  <si>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</si>
  <si>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</si>
  <si>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</si>
  <si>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</si>
  <si>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</si>
  <si>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</si>
  <si>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</si>
  <si>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KW/Hr</t>
  </si>
  <si>
    <t>Bid Price (Levelized Net Water Tariff per Gallon of Desalinated Water)</t>
  </si>
  <si>
    <t>PKR / Annum</t>
  </si>
  <si>
    <t>Insurance during Operation (capped at 1.50%)</t>
  </si>
  <si>
    <t>Contracted Guaranteed Water Supply to KWSC</t>
  </si>
  <si>
    <t>Debt Servicing</t>
  </si>
  <si>
    <t>CFADS</t>
  </si>
  <si>
    <t>DSCR</t>
  </si>
  <si>
    <t>Minimum DSCR</t>
  </si>
  <si>
    <t>x</t>
  </si>
  <si>
    <t>(PKR/Gallon)</t>
  </si>
  <si>
    <t>P_RC</t>
  </si>
  <si>
    <t>I_RC</t>
  </si>
  <si>
    <t>FOMRW</t>
  </si>
  <si>
    <t>VOMRW</t>
  </si>
  <si>
    <t>IS_RC</t>
  </si>
  <si>
    <t>E_RC</t>
  </si>
  <si>
    <t>CW</t>
  </si>
  <si>
    <t>WTPW</t>
  </si>
  <si>
    <t>Plant Assumptions (NOT TO BE CHANGED)</t>
  </si>
  <si>
    <t>Bottled Water Revenue (GoS Share) - Minimum</t>
  </si>
  <si>
    <t>PKR 8</t>
  </si>
  <si>
    <t>InfraZamin Fee - if Applicable</t>
  </si>
  <si>
    <t xml:space="preserve">Bottled Water (Committed Volume) </t>
  </si>
  <si>
    <t>(Gallons/Day)</t>
  </si>
  <si>
    <t xml:space="preserve">Bottled Water Revenue (GoS Share Factor) </t>
  </si>
  <si>
    <t xml:space="preserve"> (PKR)</t>
  </si>
  <si>
    <t>GoS Share Factor</t>
  </si>
  <si>
    <t>PKR/Gallon</t>
  </si>
  <si>
    <t>Electricity Consumption (Capped at 3,191 kW/hr)</t>
  </si>
  <si>
    <t>DSCR (minimum 1.25x)</t>
  </si>
  <si>
    <t>Notes:</t>
  </si>
  <si>
    <t>The calculations for IDC and Financing Fees costs are indicative and  will be actualized on the basis of the Base Case financial model.</t>
  </si>
  <si>
    <t>Units (kWhr) per Annum</t>
  </si>
  <si>
    <t>PKR/Kwh</t>
  </si>
  <si>
    <t>Financing Fees (Capped at 1.70%)</t>
  </si>
  <si>
    <t>Bottled Water Revenue (GoS Share Factor)</t>
  </si>
  <si>
    <t>Only the cells highlighted blue in the sheets are allowed to be edited. Changes to cells other than the required cells will result in financial bid becoming invalid</t>
  </si>
  <si>
    <t>Insurance (% of EPC - capped at 1.50%)</t>
  </si>
  <si>
    <t>Financing Fees head includes all kinds of fee payable to the Financing Parties against project debt including (without limitation) arrangement fee, commitment fee, shariah advisory fee, monitoring fee, security agency fee etc.</t>
  </si>
  <si>
    <t>Bottled Water Revenue (Guaranteed GoS Share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</si>
</sst>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000_);_(* \(#,##0.0000\);_(* &quot;-&quot;??_);_(@_)"/>
    <numFmt numFmtId="166" formatCode="_(* #,##0.0_);_(* \(#,##0.0\);_(* &quot;-&quot;??_);_(@_)"/>
    <numFmt numFmtId="167" formatCode="0.000%"/>
    <numFmt numFmtId="168" formatCode="0.00000%"/>
  </numFmts>
  <fonts count="16" x14ac:knownFonts="1">
    <font>
      <sz val="11"/>
      <color theme="1"/>
      <name val="Calibri"/>
      <family val="2"/>
      <scheme val="minor"/>
    </font>
    <font>
      <sz val="11"/>
      <color theme="1"/>
      <name val="Calibri"/>
      <family val="2"/>
      <scheme val="minor"/>
    </font>
    <font>
      <sz val="11"/>
      <color theme="1"/>
      <name val="Bierstadt"/>
      <family val="2"/>
    </font>
    <font>
      <b/>
      <sz val="11"/>
      <color theme="1"/>
      <name val="Bierstadt"/>
      <family val="2"/>
    </font>
    <font>
      <b/>
      <sz val="11"/>
      <color theme="0"/>
      <name val="Bierstadt"/>
      <family val="2"/>
    </font>
    <font>
      <b/>
      <i/>
      <u/>
      <sz val="11"/>
      <color theme="1"/>
      <name val="Bierstadt"/>
      <family val="2"/>
    </font>
    <font>
      <b/>
      <u/>
      <sz val="11"/>
      <color theme="1"/>
      <name val="Bierstadt"/>
      <family val="2"/>
    </font>
    <font>
      <b/>
      <i/>
      <sz val="11"/>
      <color theme="1"/>
      <name val="Bierstadt"/>
      <family val="2"/>
    </font>
    <font>
      <sz val="11"/>
      <name val="Bierstadt"/>
      <family val="2"/>
    </font>
    <font>
      <b/>
      <u/>
      <sz val="11"/>
      <name val="Bierstadt"/>
      <family val="2"/>
    </font>
    <font>
      <b/>
      <sz val="11"/>
      <name val="Bierstadt"/>
      <family val="2"/>
    </font>
    <font>
      <b/>
      <i/>
      <sz val="11"/>
      <name val="Bierstadt"/>
      <family val="2"/>
    </font>
    <font>
      <b/>
      <sz val="14"/>
      <color theme="1"/>
      <name val="Bierstadt"/>
      <family val="2"/>
    </font>
    <font>
      <sz val="8"/>
      <name val="Calibri"/>
      <family val="2"/>
      <scheme val="minor"/>
    </font>
    <font>
      <b/>
      <u/>
      <sz val="11"/>
      <color theme="0"/>
      <name val="Bierstadt"/>
      <family val="2"/>
    </font>
    <font>
      <sz val="22"/>
      <color rgb="FF333300"/>
      <name val="Abadi"/>
      <charset val="1"/>
    </font>
  </fonts>
  <fills count="9">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2" fillId="0" borderId="0" xfId="0" applyFont="1"/>
    <xf numFmtId="164" fontId="2" fillId="0" borderId="0" xfId="1" applyNumberFormat="1" applyFont="1"/>
    <xf numFmtId="0" fontId="3" fillId="0" borderId="0" xfId="0" applyFont="1" applyAlignment="1">
      <alignment horizontal="center"/>
    </xf>
    <xf numFmtId="164" fontId="2" fillId="0" borderId="0" xfId="0" applyNumberFormat="1" applyFont="1"/>
    <xf numFmtId="0" fontId="2" fillId="0" borderId="0" xfId="0" applyFont="1" applyAlignment="1">
      <alignment vertical="center"/>
    </xf>
    <xf numFmtId="2" fontId="2" fillId="0" borderId="0" xfId="0" applyNumberFormat="1" applyFont="1"/>
    <xf numFmtId="1" fontId="2" fillId="0" borderId="0" xfId="0" applyNumberFormat="1" applyFont="1"/>
    <xf numFmtId="0" fontId="4" fillId="2" borderId="0" xfId="0" applyFont="1" applyFill="1"/>
    <xf numFmtId="0" fontId="2" fillId="2" borderId="0" xfId="0" applyFont="1" applyFill="1"/>
    <xf numFmtId="0" fontId="2" fillId="3" borderId="0" xfId="0" applyFont="1" applyFill="1"/>
    <xf numFmtId="0" fontId="5" fillId="0" borderId="0" xfId="0" applyFont="1"/>
    <xf numFmtId="0" fontId="6" fillId="0" borderId="0" xfId="0" applyFont="1" applyAlignment="1">
      <alignment horizontal="center"/>
    </xf>
    <xf numFmtId="0" fontId="7" fillId="0" borderId="0" xfId="0" applyFont="1" applyAlignment="1">
      <alignment vertical="center"/>
    </xf>
    <xf numFmtId="9" fontId="2" fillId="0" borderId="0" xfId="0" applyNumberFormat="1" applyFont="1" applyAlignment="1">
      <alignment horizontal="center" vertical="center"/>
    </xf>
    <xf numFmtId="164" fontId="2" fillId="0" borderId="0" xfId="0" applyNumberFormat="1" applyFont="1" applyAlignment="1">
      <alignment vertical="center"/>
    </xf>
    <xf numFmtId="0" fontId="3" fillId="0" borderId="0" xfId="0" applyFont="1" applyAlignment="1">
      <alignment horizontal="center" vertical="center" wrapText="1"/>
    </xf>
    <xf numFmtId="0" fontId="7" fillId="0" borderId="0" xfId="0" applyFont="1"/>
    <xf numFmtId="164" fontId="2" fillId="0" borderId="0" xfId="1" applyNumberFormat="1" applyFont="1" applyFill="1" applyAlignment="1">
      <alignment vertical="center"/>
    </xf>
    <xf numFmtId="164" fontId="2" fillId="0" borderId="0" xfId="1" applyNumberFormat="1" applyFont="1" applyFill="1"/>
    <xf numFmtId="0" fontId="5" fillId="0" borderId="0" xfId="0" applyFont="1" applyAlignment="1">
      <alignment vertical="center"/>
    </xf>
    <xf numFmtId="10" fontId="2" fillId="0" borderId="0" xfId="0" applyNumberFormat="1" applyFont="1" applyAlignment="1">
      <alignment vertical="center"/>
    </xf>
    <xf numFmtId="0" fontId="3" fillId="0" borderId="1" xfId="0" applyFont="1" applyBorder="1" applyAlignment="1">
      <alignment vertical="center"/>
    </xf>
    <xf numFmtId="164" fontId="3" fillId="0" borderId="1" xfId="0" applyNumberFormat="1" applyFont="1" applyBorder="1" applyAlignment="1">
      <alignment vertical="center"/>
    </xf>
    <xf numFmtId="164" fontId="2" fillId="0" borderId="0" xfId="1" applyNumberFormat="1" applyFont="1" applyFill="1" applyAlignment="1">
      <alignment horizontal="left" vertical="center"/>
    </xf>
    <xf numFmtId="43" fontId="2" fillId="0" borderId="0" xfId="1" applyFont="1" applyAlignment="1">
      <alignment horizontal="center" vertical="center"/>
    </xf>
    <xf numFmtId="0" fontId="6" fillId="0" borderId="0" xfId="0" applyFont="1" applyAlignment="1">
      <alignment vertical="center"/>
    </xf>
    <xf numFmtId="43" fontId="2" fillId="0" borderId="0" xfId="1" applyFont="1"/>
    <xf numFmtId="43" fontId="2" fillId="0" borderId="0" xfId="0" applyNumberFormat="1" applyFont="1"/>
    <xf numFmtId="0" fontId="3" fillId="0" borderId="0" xfId="0" applyFont="1"/>
    <xf numFmtId="9" fontId="2" fillId="0" borderId="0" xfId="0" applyNumberFormat="1" applyFont="1"/>
    <xf numFmtId="164" fontId="3" fillId="0" borderId="0" xfId="1" applyNumberFormat="1" applyFont="1" applyAlignment="1">
      <alignment horizontal="center"/>
    </xf>
    <xf numFmtId="0" fontId="2" fillId="0" borderId="0" xfId="0" applyFont="1" applyAlignment="1">
      <alignment horizontal="center"/>
    </xf>
    <xf numFmtId="0" fontId="6" fillId="0" borderId="0" xfId="0" applyFont="1"/>
    <xf numFmtId="164" fontId="3" fillId="0" borderId="2" xfId="0" applyNumberFormat="1" applyFont="1" applyBorder="1" applyAlignment="1">
      <alignment vertical="center"/>
    </xf>
    <xf numFmtId="0" fontId="2" fillId="5" borderId="0" xfId="0" applyFont="1" applyFill="1"/>
    <xf numFmtId="164" fontId="2" fillId="5" borderId="0" xfId="1" applyNumberFormat="1" applyFont="1" applyFill="1"/>
    <xf numFmtId="0" fontId="2" fillId="5" borderId="0" xfId="0" applyFont="1" applyFill="1" applyAlignment="1">
      <alignment horizontal="center"/>
    </xf>
    <xf numFmtId="0" fontId="2" fillId="6" borderId="0" xfId="0" applyFont="1" applyFill="1"/>
    <xf numFmtId="164" fontId="2" fillId="6" borderId="0" xfId="1" applyNumberFormat="1" applyFont="1" applyFill="1"/>
    <xf numFmtId="0" fontId="2" fillId="6" borderId="0" xfId="0" applyFont="1" applyFill="1" applyAlignment="1">
      <alignment horizontal="center"/>
    </xf>
    <xf numFmtId="0" fontId="2" fillId="0" borderId="0" xfId="0" applyFont="1" applyAlignment="1">
      <alignment horizontal="center" vertical="center"/>
    </xf>
    <xf numFmtId="10" fontId="2" fillId="0" borderId="0" xfId="0" applyNumberFormat="1" applyFont="1"/>
    <xf numFmtId="164" fontId="2" fillId="7" borderId="0" xfId="1" applyNumberFormat="1" applyFont="1" applyFill="1" applyAlignment="1">
      <alignment vertical="center"/>
    </xf>
    <xf numFmtId="10" fontId="2" fillId="7" borderId="0" xfId="0" applyNumberFormat="1" applyFont="1" applyFill="1" applyAlignment="1">
      <alignment vertical="center"/>
    </xf>
    <xf numFmtId="164" fontId="8" fillId="0" borderId="0" xfId="1" applyNumberFormat="1" applyFont="1" applyAlignment="1">
      <alignment vertical="center"/>
    </xf>
    <xf numFmtId="0" fontId="3" fillId="4" borderId="5" xfId="0" applyFont="1" applyFill="1" applyBorder="1"/>
    <xf numFmtId="43" fontId="3" fillId="4" borderId="7" xfId="0" applyNumberFormat="1" applyFont="1" applyFill="1" applyBorder="1"/>
    <xf numFmtId="0" fontId="3" fillId="4" borderId="6" xfId="0" applyFont="1" applyFill="1" applyBorder="1" applyAlignment="1">
      <alignment horizontal="center"/>
    </xf>
    <xf numFmtId="0" fontId="10" fillId="4" borderId="3" xfId="0" applyFont="1" applyFill="1" applyBorder="1" applyAlignment="1">
      <alignment horizontal="centerContinuous"/>
    </xf>
    <xf numFmtId="0" fontId="10" fillId="4" borderId="2" xfId="0" applyFont="1" applyFill="1" applyBorder="1" applyAlignment="1">
      <alignment horizontal="centerContinuous"/>
    </xf>
    <xf numFmtId="0" fontId="10" fillId="4" borderId="4" xfId="0" applyFont="1" applyFill="1" applyBorder="1" applyAlignment="1">
      <alignment horizontal="centerContinuous"/>
    </xf>
    <xf numFmtId="0" fontId="7" fillId="0" borderId="0" xfId="0" applyFont="1" applyAlignment="1">
      <alignment horizontal="center"/>
    </xf>
    <xf numFmtId="43" fontId="2" fillId="7" borderId="0" xfId="1" applyFont="1" applyFill="1"/>
    <xf numFmtId="0" fontId="3" fillId="0" borderId="8" xfId="0" applyFont="1" applyBorder="1"/>
    <xf numFmtId="43" fontId="3" fillId="0" borderId="8" xfId="1" applyFont="1" applyBorder="1"/>
    <xf numFmtId="0" fontId="12" fillId="7" borderId="6" xfId="0" applyFont="1" applyFill="1" applyBorder="1" applyAlignment="1">
      <alignment horizontal="centerContinuous"/>
    </xf>
    <xf numFmtId="0" fontId="12" fillId="7" borderId="6" xfId="0" applyFont="1" applyFill="1" applyBorder="1" applyAlignment="1">
      <alignment horizontal="left"/>
    </xf>
    <xf numFmtId="0" fontId="12" fillId="0" borderId="2" xfId="0" applyFont="1" applyBorder="1" applyAlignment="1">
      <alignment horizontal="centerContinuous"/>
    </xf>
    <xf numFmtId="0" fontId="2" fillId="0" borderId="2" xfId="0" applyFont="1" applyBorder="1" applyAlignment="1">
      <alignment horizontal="centerContinuous"/>
    </xf>
    <xf numFmtId="0" fontId="7" fillId="3" borderId="0" xfId="0" applyFont="1" applyFill="1"/>
    <xf numFmtId="10" fontId="2" fillId="7" borderId="0" xfId="0" applyNumberFormat="1" applyFont="1" applyFill="1" applyAlignment="1">
      <alignment horizontal="center" vertical="center"/>
    </xf>
    <xf numFmtId="0" fontId="2" fillId="0" borderId="0" xfId="0" applyFont="1" applyAlignment="1">
      <alignment horizontal="left" vertical="center" wrapText="1"/>
    </xf>
    <xf numFmtId="166" fontId="2" fillId="0" borderId="0" xfId="1" applyNumberFormat="1" applyFont="1"/>
    <xf numFmtId="0" fontId="2" fillId="0" borderId="0" xfId="0" applyFont="1" applyAlignment="1">
      <alignment horizontal="right"/>
    </xf>
    <xf numFmtId="43" fontId="2" fillId="0" borderId="0" xfId="1" applyFont="1" applyFill="1" applyAlignment="1">
      <alignment horizontal="center"/>
    </xf>
    <xf numFmtId="43" fontId="2" fillId="0" borderId="0" xfId="1" applyFont="1" applyFill="1"/>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2" fillId="0" borderId="9" xfId="0" applyFont="1" applyBorder="1"/>
    <xf numFmtId="0" fontId="2" fillId="0" borderId="10" xfId="0" applyFont="1" applyBorder="1"/>
    <xf numFmtId="164" fontId="2" fillId="0" borderId="9" xfId="1" applyNumberFormat="1" applyFont="1" applyBorder="1"/>
    <xf numFmtId="164" fontId="2" fillId="0" borderId="0" xfId="1" applyNumberFormat="1" applyFont="1" applyBorder="1"/>
    <xf numFmtId="165" fontId="2" fillId="0" borderId="10" xfId="1" applyNumberFormat="1" applyFont="1" applyBorder="1"/>
    <xf numFmtId="164" fontId="2" fillId="0" borderId="5" xfId="1" applyNumberFormat="1" applyFont="1" applyBorder="1"/>
    <xf numFmtId="164" fontId="2" fillId="0" borderId="6" xfId="1" applyNumberFormat="1" applyFont="1" applyBorder="1"/>
    <xf numFmtId="165" fontId="2" fillId="0" borderId="7" xfId="1" applyNumberFormat="1" applyFont="1" applyBorder="1"/>
    <xf numFmtId="164" fontId="2" fillId="7" borderId="0" xfId="1" applyNumberFormat="1" applyFont="1" applyFill="1"/>
    <xf numFmtId="43" fontId="2" fillId="7" borderId="0" xfId="1" applyFont="1" applyFill="1" applyAlignment="1">
      <alignment horizontal="center"/>
    </xf>
    <xf numFmtId="0" fontId="3" fillId="3" borderId="0" xfId="0" applyFont="1" applyFill="1" applyAlignment="1">
      <alignment horizontal="center"/>
    </xf>
    <xf numFmtId="43" fontId="11" fillId="8" borderId="0" xfId="1" applyFont="1" applyFill="1" applyAlignment="1">
      <alignment horizontal="center"/>
    </xf>
    <xf numFmtId="43" fontId="11" fillId="8" borderId="0" xfId="1" applyFont="1" applyFill="1"/>
    <xf numFmtId="0" fontId="10" fillId="8" borderId="0" xfId="0" applyFont="1" applyFill="1"/>
    <xf numFmtId="0" fontId="3" fillId="0" borderId="0" xfId="0" applyFont="1" applyAlignment="1">
      <alignment horizontal="center" vertical="center"/>
    </xf>
    <xf numFmtId="167" fontId="2" fillId="0" borderId="0" xfId="0" applyNumberFormat="1" applyFont="1" applyAlignment="1">
      <alignment vertical="center"/>
    </xf>
    <xf numFmtId="168" fontId="2" fillId="0" borderId="0" xfId="0" applyNumberFormat="1" applyFont="1"/>
    <xf numFmtId="0" fontId="6" fillId="3" borderId="0" xfId="0" applyFont="1" applyFill="1" applyAlignment="1">
      <alignment horizontal="center"/>
    </xf>
    <xf numFmtId="0" fontId="3" fillId="0" borderId="0" xfId="0" applyFont="1" applyAlignment="1">
      <alignment horizontal="left" vertical="center" wrapText="1"/>
    </xf>
    <xf numFmtId="0" fontId="14" fillId="2" borderId="0" xfId="0" applyFont="1" applyFill="1" applyAlignment="1">
      <alignment horizontal="center"/>
    </xf>
    <xf numFmtId="0" fontId="9" fillId="3" borderId="0" xfId="0" applyFont="1" applyFill="1" applyAlignment="1">
      <alignment horizontal="center"/>
    </xf>
  </cellXfs>
  <cellStyles count="2">
    <cellStyle name="Comma" xfId="1" builtinId="3"/>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25400</xdr:colOff>
          <xdr:row>19</xdr:row>
          <xdr:rowOff>12700</xdr:rowOff>
        </xdr:from>
        <xdr:to>
          <xdr:col>6</xdr:col>
          <xdr:colOff>1358900</xdr:colOff>
          <xdr:row>20</xdr:row>
          <xdr:rowOff>139700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GB" sz="2200" b="0" i="0" u="none" strike="noStrike" baseline="0">
                  <a:solidFill>
                    <a:srgbClr val="333300"/>
                  </a:solidFill>
                  <a:latin typeface="Abadi"/>
                </a:rPr>
                <a:t>Calculate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G754JA/AppData/Roaming/Microsoft/Excel/XLSTART/PERSONAL.XLSB" TargetMode="External"/><Relationship Id="rId1" Type="http://schemas.microsoft.com/office/2006/relationships/xlExternalLinkPath/xlStartup" Target="PERSO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PERSONAL"/>
    </sheetNames>
    <definedNames>
      <definedName name="Balance"/>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94A90-F203-4A94-ADF6-7AD908E313A2}">
  <sheetPr codeName="Sheet1"/>
  <dimension ref="A1:Z60"/>
  <sheetViews>
    <sheetView tabSelected="1" topLeftCell="K2" zoomScale="70" zoomScaleNormal="70" workbookViewId="0">
      <selection activeCell="U13" sqref="U13"/>
    </sheetView>
  </sheetViews>
  <sheetFormatPr baseColWidth="10" defaultColWidth="8.83203125" defaultRowHeight="12" x14ac:dyDescent="0.15"/>
  <cols>
    <col min="1" max="1" width="52.1640625" style="1" customWidth="1"/>
    <col min="2" max="2" width="12.6640625" style="1" bestFit="1" customWidth="1"/>
    <col min="3" max="3" width="20.83203125" style="1" customWidth="1"/>
    <col min="4" max="4" width="1.5" style="1" customWidth="1"/>
    <col min="5" max="5" width="35.1640625" style="1" bestFit="1" customWidth="1"/>
    <col min="6" max="6" width="12.6640625" style="1" bestFit="1" customWidth="1"/>
    <col min="7" max="7" width="20.33203125" style="1" bestFit="1" customWidth="1"/>
    <col min="8" max="8" width="1.5" style="1" customWidth="1"/>
    <col min="9" max="9" width="10.1640625" style="1" bestFit="1" customWidth="1"/>
    <col min="10" max="10" width="22" style="1" customWidth="1"/>
    <col min="11" max="11" width="16" style="1" bestFit="1" customWidth="1"/>
    <col min="12" max="12" width="14" style="1" bestFit="1" customWidth="1"/>
    <col min="13" max="13" width="14.6640625" style="1" bestFit="1" customWidth="1"/>
    <col min="14" max="14" width="14" style="1" bestFit="1" customWidth="1"/>
    <col min="15" max="15" width="16" style="1" bestFit="1" customWidth="1"/>
    <col min="16" max="16" width="16.33203125" style="1" bestFit="1" customWidth="1"/>
    <col min="17" max="17" width="16.6640625" style="1" bestFit="1" customWidth="1"/>
    <col min="18" max="18" width="14.83203125" style="1" bestFit="1" customWidth="1"/>
    <col min="19" max="19" width="36.5" style="1" bestFit="1" customWidth="1"/>
    <col min="20" max="20" width="43.1640625" style="1" bestFit="1" customWidth="1"/>
    <col min="21" max="21" width="36.6640625" style="1" customWidth="1"/>
    <col min="22" max="23" width="2.33203125" style="1" customWidth="1"/>
    <col min="24" max="24" width="23.5" style="1" customWidth="1"/>
    <col min="25" max="25" width="21" style="1" customWidth="1"/>
    <col min="26" max="26" width="12.6640625" style="1" customWidth="1"/>
    <col min="27" max="16384" width="8.83203125" style="1"/>
  </cols>
  <sheetData>
    <row r="1" spans="1:26" s="9" customFormat="1" x14ac:dyDescent="0.15">
      <c r="A1" s="8" t="s">
        <v>0</v>
      </c>
      <c r="B1" s="8"/>
    </row>
    <row r="2" spans="1:26" s="10" customFormat="1" x14ac:dyDescent="0.15">
      <c r="A2" s="60" t="s">
        <v>1</v>
      </c>
    </row>
    <row r="4" spans="1:26" x14ac:dyDescent="0.15">
      <c r="A4" s="33" t="s">
        <v>20</v>
      </c>
      <c r="B4" s="11"/>
      <c r="E4" s="33" t="s">
        <v>7</v>
      </c>
      <c r="F4" s="12" t="s">
        <v>58</v>
      </c>
      <c r="G4" s="12" t="s">
        <v>57</v>
      </c>
      <c r="I4" s="89" t="s">
        <v>33</v>
      </c>
      <c r="J4" s="89"/>
      <c r="K4" s="89"/>
      <c r="L4" s="89"/>
      <c r="M4" s="89"/>
      <c r="N4" s="89"/>
      <c r="O4" s="89"/>
      <c r="P4" s="89"/>
      <c r="Q4" s="89"/>
      <c r="S4" s="89" t="s">
        <v>45</v>
      </c>
      <c r="T4" s="89"/>
      <c r="U4" s="89"/>
      <c r="V4" s="12"/>
      <c r="X4" s="87" t="s">
        <v>136</v>
      </c>
      <c r="Y4" s="87"/>
      <c r="Z4" s="87"/>
    </row>
    <row r="5" spans="1:26" ht="26" x14ac:dyDescent="0.15">
      <c r="A5" s="13" t="s">
        <v>2</v>
      </c>
      <c r="B5" s="5"/>
      <c r="C5" s="43">
        <v>0</v>
      </c>
      <c r="D5" s="5"/>
      <c r="E5" s="5" t="s">
        <v>8</v>
      </c>
      <c r="F5" s="14">
        <v>0.7</v>
      </c>
      <c r="G5" s="15">
        <f>F5*C12</f>
        <v>0</v>
      </c>
      <c r="I5" s="3" t="s">
        <v>16</v>
      </c>
      <c r="J5" s="16" t="s">
        <v>25</v>
      </c>
      <c r="K5" s="16" t="s">
        <v>26</v>
      </c>
      <c r="L5" s="16" t="s">
        <v>28</v>
      </c>
      <c r="M5" s="16" t="s">
        <v>27</v>
      </c>
      <c r="N5" s="16" t="s">
        <v>4</v>
      </c>
      <c r="O5" s="16" t="s">
        <v>32</v>
      </c>
      <c r="P5" s="16" t="s">
        <v>47</v>
      </c>
      <c r="Q5" s="16" t="s">
        <v>44</v>
      </c>
      <c r="S5" s="16" t="s">
        <v>129</v>
      </c>
      <c r="T5" s="16" t="s">
        <v>131</v>
      </c>
      <c r="U5" s="16" t="s">
        <v>146</v>
      </c>
      <c r="V5" s="16"/>
      <c r="X5" s="67" t="s">
        <v>111</v>
      </c>
      <c r="Y5" s="68" t="s">
        <v>112</v>
      </c>
      <c r="Z5" s="69" t="s">
        <v>113</v>
      </c>
    </row>
    <row r="6" spans="1:26" x14ac:dyDescent="0.15">
      <c r="A6" s="17" t="s">
        <v>34</v>
      </c>
      <c r="C6" s="18"/>
      <c r="D6" s="5"/>
      <c r="E6" s="5" t="s">
        <v>9</v>
      </c>
      <c r="F6" s="14">
        <f>1-F5</f>
        <v>0.30000000000000004</v>
      </c>
      <c r="G6" s="15">
        <f>F6*C12</f>
        <v>0</v>
      </c>
      <c r="H6" s="4"/>
      <c r="J6" s="80" t="s">
        <v>117</v>
      </c>
      <c r="K6" s="80" t="s">
        <v>118</v>
      </c>
      <c r="L6" s="80" t="s">
        <v>119</v>
      </c>
      <c r="M6" s="80" t="s">
        <v>120</v>
      </c>
      <c r="N6" s="80" t="s">
        <v>121</v>
      </c>
      <c r="O6" s="80" t="s">
        <v>122</v>
      </c>
      <c r="P6" s="80" t="s">
        <v>123</v>
      </c>
      <c r="Q6" s="80" t="s">
        <v>124</v>
      </c>
      <c r="S6" s="80" t="s">
        <v>130</v>
      </c>
      <c r="T6" s="80" t="s">
        <v>116</v>
      </c>
      <c r="U6" s="80" t="s">
        <v>132</v>
      </c>
      <c r="V6" s="3"/>
      <c r="X6" s="70"/>
      <c r="Z6" s="71"/>
    </row>
    <row r="7" spans="1:26" x14ac:dyDescent="0.15">
      <c r="A7" s="1" t="s">
        <v>35</v>
      </c>
      <c r="C7" s="43">
        <v>0</v>
      </c>
      <c r="D7" s="5"/>
      <c r="E7" s="5"/>
      <c r="F7" s="5"/>
      <c r="G7" s="34">
        <f>SUM(G5:G6)</f>
        <v>0</v>
      </c>
      <c r="H7" s="4"/>
      <c r="I7" s="3">
        <v>1</v>
      </c>
      <c r="J7" s="2">
        <f t="array" ref="J7:J31">TRANSPOSE('Debt Workings'!E6:AC6)</f>
        <v>0</v>
      </c>
      <c r="K7" s="4">
        <f t="array" ref="K7:K31">TRANSPOSE('Debt Workings'!E8:AC8)</f>
        <v>0</v>
      </c>
      <c r="L7" s="4">
        <f>C15</f>
        <v>0</v>
      </c>
      <c r="M7" s="4">
        <f>C16</f>
        <v>0</v>
      </c>
      <c r="N7" s="4">
        <f t="shared" ref="N7:N31" si="0">$C$19</f>
        <v>0</v>
      </c>
      <c r="O7" s="4">
        <f t="shared" ref="O7:O31" si="1">-PMT($F$16,$C$24,$G$6)</f>
        <v>0</v>
      </c>
      <c r="P7" s="4">
        <f>$C$28*'O&amp;M Cost'!E6*24*$C$25</f>
        <v>0</v>
      </c>
      <c r="Q7" s="4">
        <f t="shared" ref="Q7:Q31" si="2">SUM(J7:P7,U7)</f>
        <v>0</v>
      </c>
      <c r="S7" s="78">
        <v>0</v>
      </c>
      <c r="T7" s="79">
        <v>0</v>
      </c>
      <c r="U7" s="4">
        <f t="shared" ref="U7:U31" si="3">-T7*S7*$C$25</f>
        <v>0</v>
      </c>
      <c r="V7" s="66"/>
      <c r="X7" s="72">
        <f t="shared" ref="X7:X31" si="4">J7+K7</f>
        <v>0</v>
      </c>
      <c r="Y7" s="73">
        <f t="shared" ref="Y7:Y31" si="5">J7+K7+O7</f>
        <v>0</v>
      </c>
      <c r="Z7" s="74">
        <f>IFERROR(Y7/X7,0)</f>
        <v>0</v>
      </c>
    </row>
    <row r="8" spans="1:26" x14ac:dyDescent="0.15">
      <c r="A8" s="1" t="s">
        <v>36</v>
      </c>
      <c r="C8" s="43">
        <v>0</v>
      </c>
      <c r="D8" s="5"/>
      <c r="E8" s="26" t="s">
        <v>15</v>
      </c>
      <c r="F8" s="5"/>
      <c r="G8" s="5"/>
      <c r="H8" s="4"/>
      <c r="I8" s="3">
        <f>I7+1</f>
        <v>2</v>
      </c>
      <c r="J8" s="2">
        <v>0</v>
      </c>
      <c r="K8" s="4">
        <v>0</v>
      </c>
      <c r="L8" s="4">
        <f>L7</f>
        <v>0</v>
      </c>
      <c r="M8" s="4">
        <f>M7</f>
        <v>0</v>
      </c>
      <c r="N8" s="4">
        <f t="shared" si="0"/>
        <v>0</v>
      </c>
      <c r="O8" s="4">
        <f t="shared" si="1"/>
        <v>0</v>
      </c>
      <c r="P8" s="4">
        <f>$C$28*'O&amp;M Cost'!E7*24*$C$25</f>
        <v>0</v>
      </c>
      <c r="Q8" s="4">
        <f t="shared" si="2"/>
        <v>0</v>
      </c>
      <c r="S8" s="78">
        <v>0</v>
      </c>
      <c r="T8" s="65">
        <f>T7</f>
        <v>0</v>
      </c>
      <c r="U8" s="4">
        <f t="shared" si="3"/>
        <v>0</v>
      </c>
      <c r="V8" s="66"/>
      <c r="X8" s="72">
        <f t="shared" si="4"/>
        <v>0</v>
      </c>
      <c r="Y8" s="73">
        <f t="shared" si="5"/>
        <v>0</v>
      </c>
      <c r="Z8" s="74">
        <f t="shared" ref="Z8:Z31" si="6">IFERROR(Y8/X8,0)</f>
        <v>0</v>
      </c>
    </row>
    <row r="9" spans="1:26" x14ac:dyDescent="0.15">
      <c r="A9" s="5" t="s">
        <v>144</v>
      </c>
      <c r="B9" s="61">
        <v>0</v>
      </c>
      <c r="C9" s="18">
        <f>B9*C5</f>
        <v>0</v>
      </c>
      <c r="D9" s="5"/>
      <c r="E9" s="5" t="s">
        <v>22</v>
      </c>
      <c r="F9" s="45">
        <v>10</v>
      </c>
      <c r="G9" s="5" t="s">
        <v>23</v>
      </c>
      <c r="H9" s="4"/>
      <c r="I9" s="3">
        <f t="shared" ref="I9:I25" si="7">I8+1</f>
        <v>3</v>
      </c>
      <c r="J9" s="2">
        <v>0</v>
      </c>
      <c r="K9" s="4">
        <v>0</v>
      </c>
      <c r="L9" s="4">
        <f t="shared" ref="L9:L25" si="8">L8</f>
        <v>0</v>
      </c>
      <c r="M9" s="4">
        <f t="shared" ref="M9:M25" si="9">M8</f>
        <v>0</v>
      </c>
      <c r="N9" s="4">
        <f t="shared" si="0"/>
        <v>0</v>
      </c>
      <c r="O9" s="4">
        <f t="shared" si="1"/>
        <v>0</v>
      </c>
      <c r="P9" s="4">
        <f>$C$28*'O&amp;M Cost'!E8*24*$C$25</f>
        <v>0</v>
      </c>
      <c r="Q9" s="4">
        <f t="shared" si="2"/>
        <v>0</v>
      </c>
      <c r="S9" s="78">
        <v>0</v>
      </c>
      <c r="T9" s="65">
        <f t="shared" ref="T9:T31" si="10">T8</f>
        <v>0</v>
      </c>
      <c r="U9" s="4">
        <f t="shared" si="3"/>
        <v>0</v>
      </c>
      <c r="V9" s="66"/>
      <c r="X9" s="72">
        <f t="shared" si="4"/>
        <v>0</v>
      </c>
      <c r="Y9" s="73">
        <f t="shared" si="5"/>
        <v>0</v>
      </c>
      <c r="Z9" s="74">
        <f t="shared" si="6"/>
        <v>0</v>
      </c>
    </row>
    <row r="10" spans="1:26" x14ac:dyDescent="0.15">
      <c r="A10" s="5" t="s">
        <v>5</v>
      </c>
      <c r="B10" s="5"/>
      <c r="C10" s="18">
        <f>'Debt Workings'!B20</f>
        <v>0</v>
      </c>
      <c r="D10" s="5"/>
      <c r="E10" s="5" t="s">
        <v>17</v>
      </c>
      <c r="F10" s="21">
        <v>0.19</v>
      </c>
      <c r="G10" s="5"/>
      <c r="H10" s="4"/>
      <c r="I10" s="3">
        <f t="shared" si="7"/>
        <v>4</v>
      </c>
      <c r="J10" s="2">
        <v>0</v>
      </c>
      <c r="K10" s="4">
        <v>0</v>
      </c>
      <c r="L10" s="4">
        <f t="shared" si="8"/>
        <v>0</v>
      </c>
      <c r="M10" s="4">
        <f t="shared" si="9"/>
        <v>0</v>
      </c>
      <c r="N10" s="4">
        <f t="shared" si="0"/>
        <v>0</v>
      </c>
      <c r="O10" s="4">
        <f t="shared" si="1"/>
        <v>0</v>
      </c>
      <c r="P10" s="4">
        <f>$C$28*'O&amp;M Cost'!E9*24*$C$25</f>
        <v>0</v>
      </c>
      <c r="Q10" s="4">
        <f t="shared" si="2"/>
        <v>0</v>
      </c>
      <c r="S10" s="78">
        <v>0</v>
      </c>
      <c r="T10" s="65">
        <f t="shared" si="10"/>
        <v>0</v>
      </c>
      <c r="U10" s="4">
        <f t="shared" si="3"/>
        <v>0</v>
      </c>
      <c r="V10" s="66"/>
      <c r="X10" s="72">
        <f t="shared" si="4"/>
        <v>0</v>
      </c>
      <c r="Y10" s="73">
        <f t="shared" si="5"/>
        <v>0</v>
      </c>
      <c r="Z10" s="74">
        <f t="shared" si="6"/>
        <v>0</v>
      </c>
    </row>
    <row r="11" spans="1:26" x14ac:dyDescent="0.15">
      <c r="A11" s="5" t="s">
        <v>6</v>
      </c>
      <c r="B11" s="5"/>
      <c r="C11" s="18">
        <f>'Debt Workings'!B17</f>
        <v>0</v>
      </c>
      <c r="D11" s="5"/>
      <c r="E11" s="5" t="s">
        <v>56</v>
      </c>
      <c r="F11" s="44">
        <v>0</v>
      </c>
      <c r="G11" s="5"/>
      <c r="H11" s="4"/>
      <c r="I11" s="3">
        <f t="shared" si="7"/>
        <v>5</v>
      </c>
      <c r="J11" s="2">
        <v>0</v>
      </c>
      <c r="K11" s="4">
        <v>0</v>
      </c>
      <c r="L11" s="4">
        <f t="shared" si="8"/>
        <v>0</v>
      </c>
      <c r="M11" s="4">
        <f t="shared" si="9"/>
        <v>0</v>
      </c>
      <c r="N11" s="4">
        <f t="shared" si="0"/>
        <v>0</v>
      </c>
      <c r="O11" s="4">
        <f t="shared" si="1"/>
        <v>0</v>
      </c>
      <c r="P11" s="4">
        <f>$C$28*'O&amp;M Cost'!E10*24*$C$25</f>
        <v>0</v>
      </c>
      <c r="Q11" s="4">
        <f t="shared" si="2"/>
        <v>0</v>
      </c>
      <c r="S11" s="78">
        <v>0</v>
      </c>
      <c r="T11" s="65">
        <f t="shared" si="10"/>
        <v>0</v>
      </c>
      <c r="U11" s="4">
        <f t="shared" si="3"/>
        <v>0</v>
      </c>
      <c r="V11" s="66"/>
      <c r="X11" s="72">
        <f t="shared" si="4"/>
        <v>0</v>
      </c>
      <c r="Y11" s="73">
        <f t="shared" si="5"/>
        <v>0</v>
      </c>
      <c r="Z11" s="74">
        <f t="shared" si="6"/>
        <v>0</v>
      </c>
    </row>
    <row r="12" spans="1:26" x14ac:dyDescent="0.15">
      <c r="A12" s="22" t="s">
        <v>19</v>
      </c>
      <c r="B12" s="22"/>
      <c r="C12" s="23">
        <f>SUM(C5:C11)</f>
        <v>0</v>
      </c>
      <c r="D12" s="5"/>
      <c r="E12" s="5" t="s">
        <v>18</v>
      </c>
      <c r="F12" s="21">
        <f>SUM(F10:F11)</f>
        <v>0.19</v>
      </c>
      <c r="G12" s="5"/>
      <c r="H12" s="4"/>
      <c r="I12" s="3">
        <f t="shared" si="7"/>
        <v>6</v>
      </c>
      <c r="J12" s="2">
        <v>0</v>
      </c>
      <c r="K12" s="4">
        <v>0</v>
      </c>
      <c r="L12" s="4">
        <f t="shared" si="8"/>
        <v>0</v>
      </c>
      <c r="M12" s="4">
        <f t="shared" si="9"/>
        <v>0</v>
      </c>
      <c r="N12" s="4">
        <f t="shared" si="0"/>
        <v>0</v>
      </c>
      <c r="O12" s="4">
        <f t="shared" si="1"/>
        <v>0</v>
      </c>
      <c r="P12" s="4">
        <f>$C$28*'O&amp;M Cost'!E11*24*$C$25</f>
        <v>0</v>
      </c>
      <c r="Q12" s="4">
        <f t="shared" si="2"/>
        <v>0</v>
      </c>
      <c r="S12" s="78">
        <v>0</v>
      </c>
      <c r="T12" s="65">
        <f t="shared" si="10"/>
        <v>0</v>
      </c>
      <c r="U12" s="4">
        <f t="shared" si="3"/>
        <v>0</v>
      </c>
      <c r="V12" s="66"/>
      <c r="X12" s="72">
        <f t="shared" si="4"/>
        <v>0</v>
      </c>
      <c r="Y12" s="73">
        <f t="shared" si="5"/>
        <v>0</v>
      </c>
      <c r="Z12" s="74">
        <f t="shared" si="6"/>
        <v>0</v>
      </c>
    </row>
    <row r="13" spans="1:26" x14ac:dyDescent="0.15">
      <c r="A13" s="5"/>
      <c r="B13" s="5"/>
      <c r="C13" s="5"/>
      <c r="D13" s="5"/>
      <c r="E13" s="5" t="s">
        <v>141</v>
      </c>
      <c r="F13" s="44">
        <v>0</v>
      </c>
      <c r="G13" s="85"/>
      <c r="H13" s="4"/>
      <c r="I13" s="3">
        <f t="shared" si="7"/>
        <v>7</v>
      </c>
      <c r="J13" s="2">
        <v>0</v>
      </c>
      <c r="K13" s="4">
        <v>0</v>
      </c>
      <c r="L13" s="4">
        <f t="shared" si="8"/>
        <v>0</v>
      </c>
      <c r="M13" s="4">
        <f t="shared" si="9"/>
        <v>0</v>
      </c>
      <c r="N13" s="4">
        <f t="shared" si="0"/>
        <v>0</v>
      </c>
      <c r="O13" s="4">
        <f t="shared" si="1"/>
        <v>0</v>
      </c>
      <c r="P13" s="4">
        <f>$C$28*'O&amp;M Cost'!E12*24*$C$25</f>
        <v>0</v>
      </c>
      <c r="Q13" s="4">
        <f t="shared" si="2"/>
        <v>0</v>
      </c>
      <c r="S13" s="78">
        <v>0</v>
      </c>
      <c r="T13" s="65">
        <f t="shared" si="10"/>
        <v>0</v>
      </c>
      <c r="U13" s="4">
        <f t="shared" si="3"/>
        <v>0</v>
      </c>
      <c r="V13" s="66"/>
      <c r="X13" s="72">
        <f t="shared" si="4"/>
        <v>0</v>
      </c>
      <c r="Y13" s="73">
        <f t="shared" si="5"/>
        <v>0</v>
      </c>
      <c r="Z13" s="74">
        <f t="shared" si="6"/>
        <v>0</v>
      </c>
    </row>
    <row r="14" spans="1:26" x14ac:dyDescent="0.15">
      <c r="A14" s="20" t="s">
        <v>3</v>
      </c>
      <c r="B14" s="20"/>
      <c r="C14" s="5"/>
      <c r="D14" s="5"/>
      <c r="F14" s="21"/>
      <c r="G14" s="86"/>
      <c r="H14" s="4"/>
      <c r="I14" s="3">
        <f t="shared" si="7"/>
        <v>8</v>
      </c>
      <c r="J14" s="2">
        <v>0</v>
      </c>
      <c r="K14" s="4">
        <v>0</v>
      </c>
      <c r="L14" s="4">
        <f t="shared" si="8"/>
        <v>0</v>
      </c>
      <c r="M14" s="4">
        <f t="shared" si="9"/>
        <v>0</v>
      </c>
      <c r="N14" s="4">
        <f t="shared" si="0"/>
        <v>0</v>
      </c>
      <c r="O14" s="4">
        <f t="shared" si="1"/>
        <v>0</v>
      </c>
      <c r="P14" s="4">
        <f>$C$28*'O&amp;M Cost'!E13*24*$C$25</f>
        <v>0</v>
      </c>
      <c r="Q14" s="4">
        <f t="shared" si="2"/>
        <v>0</v>
      </c>
      <c r="S14" s="78">
        <v>0</v>
      </c>
      <c r="T14" s="65">
        <f t="shared" si="10"/>
        <v>0</v>
      </c>
      <c r="U14" s="4">
        <f t="shared" si="3"/>
        <v>0</v>
      </c>
      <c r="V14" s="66"/>
      <c r="X14" s="72">
        <f t="shared" si="4"/>
        <v>0</v>
      </c>
      <c r="Y14" s="73">
        <f t="shared" si="5"/>
        <v>0</v>
      </c>
      <c r="Z14" s="74">
        <f t="shared" si="6"/>
        <v>0</v>
      </c>
    </row>
    <row r="15" spans="1:26" x14ac:dyDescent="0.15">
      <c r="A15" s="5" t="s">
        <v>28</v>
      </c>
      <c r="B15" s="5"/>
      <c r="C15" s="18">
        <f>'O&amp;M Cost'!B12</f>
        <v>0</v>
      </c>
      <c r="D15" s="5"/>
      <c r="E15" s="26" t="s">
        <v>41</v>
      </c>
      <c r="F15" s="5"/>
      <c r="G15" s="5"/>
      <c r="H15" s="4"/>
      <c r="I15" s="3">
        <f t="shared" si="7"/>
        <v>9</v>
      </c>
      <c r="J15" s="2">
        <v>0</v>
      </c>
      <c r="K15" s="4">
        <v>0</v>
      </c>
      <c r="L15" s="4">
        <f t="shared" si="8"/>
        <v>0</v>
      </c>
      <c r="M15" s="4">
        <f t="shared" si="9"/>
        <v>0</v>
      </c>
      <c r="N15" s="4">
        <f t="shared" si="0"/>
        <v>0</v>
      </c>
      <c r="O15" s="4">
        <f t="shared" si="1"/>
        <v>0</v>
      </c>
      <c r="P15" s="4">
        <f>$C$28*'O&amp;M Cost'!E14*24*$C$25</f>
        <v>0</v>
      </c>
      <c r="Q15" s="4">
        <f t="shared" si="2"/>
        <v>0</v>
      </c>
      <c r="S15" s="78">
        <v>0</v>
      </c>
      <c r="T15" s="65">
        <f t="shared" si="10"/>
        <v>0</v>
      </c>
      <c r="U15" s="4">
        <f t="shared" si="3"/>
        <v>0</v>
      </c>
      <c r="V15" s="66"/>
      <c r="X15" s="72">
        <f t="shared" si="4"/>
        <v>0</v>
      </c>
      <c r="Y15" s="73">
        <f t="shared" si="5"/>
        <v>0</v>
      </c>
      <c r="Z15" s="74">
        <f t="shared" si="6"/>
        <v>0</v>
      </c>
    </row>
    <row r="16" spans="1:26" x14ac:dyDescent="0.15">
      <c r="A16" s="5" t="s">
        <v>38</v>
      </c>
      <c r="B16" s="5"/>
      <c r="C16" s="18">
        <f>'O&amp;M Cost'!B22</f>
        <v>0</v>
      </c>
      <c r="D16" s="5"/>
      <c r="E16" s="5" t="s">
        <v>10</v>
      </c>
      <c r="F16" s="44">
        <v>0</v>
      </c>
      <c r="G16" s="5"/>
      <c r="H16" s="4"/>
      <c r="I16" s="3">
        <f t="shared" si="7"/>
        <v>10</v>
      </c>
      <c r="J16" s="2">
        <v>0</v>
      </c>
      <c r="K16" s="4">
        <v>0</v>
      </c>
      <c r="L16" s="4">
        <f t="shared" si="8"/>
        <v>0</v>
      </c>
      <c r="M16" s="4">
        <f t="shared" si="9"/>
        <v>0</v>
      </c>
      <c r="N16" s="4">
        <f t="shared" si="0"/>
        <v>0</v>
      </c>
      <c r="O16" s="4">
        <f t="shared" si="1"/>
        <v>0</v>
      </c>
      <c r="P16" s="4">
        <f>$C$28*'O&amp;M Cost'!E15*24*$C$25</f>
        <v>0</v>
      </c>
      <c r="Q16" s="4">
        <f t="shared" si="2"/>
        <v>0</v>
      </c>
      <c r="S16" s="78">
        <v>0</v>
      </c>
      <c r="T16" s="65">
        <f t="shared" si="10"/>
        <v>0</v>
      </c>
      <c r="U16" s="4">
        <f t="shared" si="3"/>
        <v>0</v>
      </c>
      <c r="V16" s="66"/>
      <c r="X16" s="72">
        <f t="shared" si="4"/>
        <v>0</v>
      </c>
      <c r="Y16" s="73">
        <f t="shared" si="5"/>
        <v>0</v>
      </c>
      <c r="Z16" s="74">
        <f t="shared" si="6"/>
        <v>0</v>
      </c>
    </row>
    <row r="17" spans="1:26" x14ac:dyDescent="0.15">
      <c r="A17" s="22" t="s">
        <v>24</v>
      </c>
      <c r="B17" s="22"/>
      <c r="C17" s="23">
        <f>SUM(C15:C16)</f>
        <v>0</v>
      </c>
      <c r="D17" s="5"/>
      <c r="E17" s="5" t="s">
        <v>37</v>
      </c>
      <c r="F17" s="42">
        <f>('Bid Price'!F16*'Bid Price'!F6)+('Bid Price'!F5*'Bid Price'!F12*(1-29%))</f>
        <v>9.4429999999999986E-2</v>
      </c>
      <c r="G17" s="5"/>
      <c r="I17" s="3">
        <f t="shared" si="7"/>
        <v>11</v>
      </c>
      <c r="J17" s="2">
        <v>0</v>
      </c>
      <c r="K17" s="4">
        <v>0</v>
      </c>
      <c r="L17" s="4">
        <f t="shared" si="8"/>
        <v>0</v>
      </c>
      <c r="M17" s="4">
        <f t="shared" si="9"/>
        <v>0</v>
      </c>
      <c r="N17" s="4">
        <f t="shared" si="0"/>
        <v>0</v>
      </c>
      <c r="O17" s="4">
        <f t="shared" si="1"/>
        <v>0</v>
      </c>
      <c r="P17" s="4">
        <f>$C$28*'O&amp;M Cost'!E16*24*$C$25</f>
        <v>0</v>
      </c>
      <c r="Q17" s="4">
        <f t="shared" si="2"/>
        <v>0</v>
      </c>
      <c r="S17" s="78">
        <v>0</v>
      </c>
      <c r="T17" s="65">
        <f t="shared" si="10"/>
        <v>0</v>
      </c>
      <c r="U17" s="4">
        <f t="shared" si="3"/>
        <v>0</v>
      </c>
      <c r="V17" s="66"/>
      <c r="X17" s="72">
        <f t="shared" si="4"/>
        <v>0</v>
      </c>
      <c r="Y17" s="73">
        <f t="shared" si="5"/>
        <v>0</v>
      </c>
      <c r="Z17" s="74">
        <f t="shared" si="6"/>
        <v>0</v>
      </c>
    </row>
    <row r="18" spans="1:26" x14ac:dyDescent="0.15">
      <c r="A18" s="5"/>
      <c r="B18" s="5"/>
      <c r="C18" s="5"/>
      <c r="D18" s="5"/>
      <c r="I18" s="3">
        <f t="shared" si="7"/>
        <v>12</v>
      </c>
      <c r="J18" s="2">
        <v>0</v>
      </c>
      <c r="K18" s="4">
        <v>0</v>
      </c>
      <c r="L18" s="4">
        <f t="shared" si="8"/>
        <v>0</v>
      </c>
      <c r="M18" s="4">
        <f t="shared" si="9"/>
        <v>0</v>
      </c>
      <c r="N18" s="4">
        <f t="shared" si="0"/>
        <v>0</v>
      </c>
      <c r="O18" s="4">
        <f t="shared" si="1"/>
        <v>0</v>
      </c>
      <c r="P18" s="4">
        <f>$C$28*'O&amp;M Cost'!E17*24*$C$25</f>
        <v>0</v>
      </c>
      <c r="Q18" s="4">
        <f t="shared" si="2"/>
        <v>0</v>
      </c>
      <c r="S18" s="78">
        <v>0</v>
      </c>
      <c r="T18" s="65">
        <f t="shared" si="10"/>
        <v>0</v>
      </c>
      <c r="U18" s="4">
        <f t="shared" si="3"/>
        <v>0</v>
      </c>
      <c r="V18" s="66"/>
      <c r="X18" s="72">
        <f t="shared" si="4"/>
        <v>0</v>
      </c>
      <c r="Y18" s="73">
        <f t="shared" si="5"/>
        <v>0</v>
      </c>
      <c r="Z18" s="74">
        <f t="shared" si="6"/>
        <v>0</v>
      </c>
    </row>
    <row r="19" spans="1:26" x14ac:dyDescent="0.15">
      <c r="A19" s="5" t="s">
        <v>109</v>
      </c>
      <c r="B19" s="61">
        <v>0</v>
      </c>
      <c r="C19" s="18">
        <f>B19*C5</f>
        <v>0</v>
      </c>
      <c r="D19" s="5"/>
      <c r="I19" s="3">
        <f t="shared" si="7"/>
        <v>13</v>
      </c>
      <c r="J19" s="2">
        <v>0</v>
      </c>
      <c r="K19" s="4">
        <v>0</v>
      </c>
      <c r="L19" s="4">
        <f t="shared" si="8"/>
        <v>0</v>
      </c>
      <c r="M19" s="4">
        <f t="shared" si="9"/>
        <v>0</v>
      </c>
      <c r="N19" s="4">
        <f t="shared" si="0"/>
        <v>0</v>
      </c>
      <c r="O19" s="4">
        <f t="shared" si="1"/>
        <v>0</v>
      </c>
      <c r="P19" s="4">
        <f>$C$28*'O&amp;M Cost'!E18*24*$C$25</f>
        <v>0</v>
      </c>
      <c r="Q19" s="4">
        <f t="shared" si="2"/>
        <v>0</v>
      </c>
      <c r="S19" s="78">
        <v>0</v>
      </c>
      <c r="T19" s="65">
        <f t="shared" si="10"/>
        <v>0</v>
      </c>
      <c r="U19" s="4">
        <f t="shared" si="3"/>
        <v>0</v>
      </c>
      <c r="V19" s="66"/>
      <c r="X19" s="72">
        <f t="shared" si="4"/>
        <v>0</v>
      </c>
      <c r="Y19" s="73">
        <f t="shared" si="5"/>
        <v>0</v>
      </c>
      <c r="Z19" s="74">
        <f t="shared" si="6"/>
        <v>0</v>
      </c>
    </row>
    <row r="20" spans="1:26" x14ac:dyDescent="0.15">
      <c r="A20" s="5"/>
      <c r="B20" s="5"/>
      <c r="C20" s="5"/>
      <c r="D20" s="5"/>
      <c r="I20" s="3">
        <f t="shared" si="7"/>
        <v>14</v>
      </c>
      <c r="J20" s="2">
        <v>0</v>
      </c>
      <c r="K20" s="4">
        <v>0</v>
      </c>
      <c r="L20" s="4">
        <f t="shared" si="8"/>
        <v>0</v>
      </c>
      <c r="M20" s="4">
        <f t="shared" si="9"/>
        <v>0</v>
      </c>
      <c r="N20" s="4">
        <f t="shared" si="0"/>
        <v>0</v>
      </c>
      <c r="O20" s="4">
        <f t="shared" si="1"/>
        <v>0</v>
      </c>
      <c r="P20" s="4">
        <f>$C$28*'O&amp;M Cost'!E19*24*$C$25</f>
        <v>0</v>
      </c>
      <c r="Q20" s="4">
        <f t="shared" si="2"/>
        <v>0</v>
      </c>
      <c r="S20" s="78">
        <v>0</v>
      </c>
      <c r="T20" s="65">
        <f t="shared" si="10"/>
        <v>0</v>
      </c>
      <c r="U20" s="4">
        <f t="shared" si="3"/>
        <v>0</v>
      </c>
      <c r="V20" s="66"/>
      <c r="X20" s="72">
        <f t="shared" si="4"/>
        <v>0</v>
      </c>
      <c r="Y20" s="73">
        <f t="shared" si="5"/>
        <v>0</v>
      </c>
      <c r="Z20" s="74">
        <f t="shared" si="6"/>
        <v>0</v>
      </c>
    </row>
    <row r="21" spans="1:26" x14ac:dyDescent="0.15">
      <c r="A21" s="20" t="s">
        <v>125</v>
      </c>
      <c r="B21" s="5"/>
      <c r="C21" s="5"/>
      <c r="D21" s="5"/>
      <c r="I21" s="3">
        <f t="shared" si="7"/>
        <v>15</v>
      </c>
      <c r="J21" s="2">
        <v>0</v>
      </c>
      <c r="K21" s="4">
        <v>0</v>
      </c>
      <c r="L21" s="4">
        <f t="shared" si="8"/>
        <v>0</v>
      </c>
      <c r="M21" s="4">
        <f t="shared" si="9"/>
        <v>0</v>
      </c>
      <c r="N21" s="4">
        <f t="shared" si="0"/>
        <v>0</v>
      </c>
      <c r="O21" s="4">
        <f t="shared" si="1"/>
        <v>0</v>
      </c>
      <c r="P21" s="4">
        <f>$C$28*'O&amp;M Cost'!E20*24*$C$25</f>
        <v>0</v>
      </c>
      <c r="Q21" s="4">
        <f t="shared" si="2"/>
        <v>0</v>
      </c>
      <c r="S21" s="78">
        <v>0</v>
      </c>
      <c r="T21" s="65">
        <f t="shared" si="10"/>
        <v>0</v>
      </c>
      <c r="U21" s="4">
        <f t="shared" si="3"/>
        <v>0</v>
      </c>
      <c r="V21" s="66"/>
      <c r="X21" s="72">
        <f t="shared" si="4"/>
        <v>0</v>
      </c>
      <c r="Y21" s="73">
        <f t="shared" si="5"/>
        <v>0</v>
      </c>
      <c r="Z21" s="74">
        <f t="shared" si="6"/>
        <v>0</v>
      </c>
    </row>
    <row r="22" spans="1:26" x14ac:dyDescent="0.15">
      <c r="A22" s="5" t="s">
        <v>110</v>
      </c>
      <c r="B22" s="41" t="s">
        <v>14</v>
      </c>
      <c r="C22" s="24">
        <v>5000000</v>
      </c>
      <c r="D22" s="5"/>
      <c r="E22" s="49" t="s">
        <v>107</v>
      </c>
      <c r="F22" s="50"/>
      <c r="G22" s="51"/>
      <c r="I22" s="3">
        <f t="shared" si="7"/>
        <v>16</v>
      </c>
      <c r="J22" s="2">
        <v>0</v>
      </c>
      <c r="K22" s="4">
        <v>0</v>
      </c>
      <c r="L22" s="4">
        <f t="shared" si="8"/>
        <v>0</v>
      </c>
      <c r="M22" s="4">
        <f t="shared" si="9"/>
        <v>0</v>
      </c>
      <c r="N22" s="4">
        <f t="shared" si="0"/>
        <v>0</v>
      </c>
      <c r="O22" s="4">
        <f t="shared" si="1"/>
        <v>0</v>
      </c>
      <c r="P22" s="4">
        <f>$C$28*'O&amp;M Cost'!E21*24*$C$25</f>
        <v>0</v>
      </c>
      <c r="Q22" s="4">
        <f t="shared" si="2"/>
        <v>0</v>
      </c>
      <c r="S22" s="78">
        <v>0</v>
      </c>
      <c r="T22" s="65">
        <f t="shared" si="10"/>
        <v>0</v>
      </c>
      <c r="U22" s="4">
        <f t="shared" si="3"/>
        <v>0</v>
      </c>
      <c r="V22" s="66"/>
      <c r="X22" s="72">
        <f t="shared" si="4"/>
        <v>0</v>
      </c>
      <c r="Y22" s="73">
        <f t="shared" si="5"/>
        <v>0</v>
      </c>
      <c r="Z22" s="74">
        <f t="shared" si="6"/>
        <v>0</v>
      </c>
    </row>
    <row r="23" spans="1:26" x14ac:dyDescent="0.15">
      <c r="A23" s="5" t="s">
        <v>11</v>
      </c>
      <c r="B23" s="41" t="s">
        <v>13</v>
      </c>
      <c r="C23" s="25">
        <v>2</v>
      </c>
      <c r="E23" s="46" t="s">
        <v>46</v>
      </c>
      <c r="F23" s="48" t="s">
        <v>66</v>
      </c>
      <c r="G23" s="47">
        <f>Q60</f>
        <v>0</v>
      </c>
      <c r="I23" s="3">
        <f t="shared" si="7"/>
        <v>17</v>
      </c>
      <c r="J23" s="2">
        <v>0</v>
      </c>
      <c r="K23" s="4">
        <v>0</v>
      </c>
      <c r="L23" s="4">
        <f t="shared" si="8"/>
        <v>0</v>
      </c>
      <c r="M23" s="4">
        <f t="shared" si="9"/>
        <v>0</v>
      </c>
      <c r="N23" s="4">
        <f t="shared" si="0"/>
        <v>0</v>
      </c>
      <c r="O23" s="4">
        <f t="shared" si="1"/>
        <v>0</v>
      </c>
      <c r="P23" s="4">
        <f>$C$28*'O&amp;M Cost'!E22*24*$C$25</f>
        <v>0</v>
      </c>
      <c r="Q23" s="4">
        <f t="shared" si="2"/>
        <v>0</v>
      </c>
      <c r="S23" s="78">
        <v>0</v>
      </c>
      <c r="T23" s="65">
        <f t="shared" si="10"/>
        <v>0</v>
      </c>
      <c r="U23" s="4">
        <f t="shared" si="3"/>
        <v>0</v>
      </c>
      <c r="V23" s="66"/>
      <c r="X23" s="72">
        <f t="shared" si="4"/>
        <v>0</v>
      </c>
      <c r="Y23" s="73">
        <f t="shared" si="5"/>
        <v>0</v>
      </c>
      <c r="Z23" s="74">
        <f t="shared" si="6"/>
        <v>0</v>
      </c>
    </row>
    <row r="24" spans="1:26" x14ac:dyDescent="0.15">
      <c r="A24" s="5" t="s">
        <v>12</v>
      </c>
      <c r="B24" s="41" t="s">
        <v>13</v>
      </c>
      <c r="C24" s="25">
        <v>25</v>
      </c>
      <c r="I24" s="3">
        <f t="shared" si="7"/>
        <v>18</v>
      </c>
      <c r="J24" s="2">
        <v>0</v>
      </c>
      <c r="K24" s="4">
        <v>0</v>
      </c>
      <c r="L24" s="4">
        <f t="shared" si="8"/>
        <v>0</v>
      </c>
      <c r="M24" s="4">
        <f t="shared" si="9"/>
        <v>0</v>
      </c>
      <c r="N24" s="4">
        <f t="shared" si="0"/>
        <v>0</v>
      </c>
      <c r="O24" s="4">
        <f t="shared" si="1"/>
        <v>0</v>
      </c>
      <c r="P24" s="4">
        <f>$C$28*'O&amp;M Cost'!E23*24*$C$25</f>
        <v>0</v>
      </c>
      <c r="Q24" s="4">
        <f t="shared" si="2"/>
        <v>0</v>
      </c>
      <c r="S24" s="78">
        <v>0</v>
      </c>
      <c r="T24" s="65">
        <f t="shared" si="10"/>
        <v>0</v>
      </c>
      <c r="U24" s="4">
        <f t="shared" si="3"/>
        <v>0</v>
      </c>
      <c r="V24" s="66"/>
      <c r="X24" s="72">
        <f t="shared" si="4"/>
        <v>0</v>
      </c>
      <c r="Y24" s="73">
        <f t="shared" si="5"/>
        <v>0</v>
      </c>
      <c r="Z24" s="74">
        <f t="shared" si="6"/>
        <v>0</v>
      </c>
    </row>
    <row r="25" spans="1:26" x14ac:dyDescent="0.15">
      <c r="A25" s="5" t="s">
        <v>39</v>
      </c>
      <c r="B25" s="32" t="s">
        <v>40</v>
      </c>
      <c r="C25" s="19">
        <v>355</v>
      </c>
      <c r="I25" s="3">
        <f t="shared" si="7"/>
        <v>19</v>
      </c>
      <c r="J25" s="2">
        <v>0</v>
      </c>
      <c r="K25" s="4">
        <v>0</v>
      </c>
      <c r="L25" s="4">
        <f t="shared" si="8"/>
        <v>0</v>
      </c>
      <c r="M25" s="4">
        <f t="shared" si="9"/>
        <v>0</v>
      </c>
      <c r="N25" s="4">
        <f t="shared" si="0"/>
        <v>0</v>
      </c>
      <c r="O25" s="4">
        <f t="shared" si="1"/>
        <v>0</v>
      </c>
      <c r="P25" s="4">
        <f>$C$28*'O&amp;M Cost'!E24*24*$C$25</f>
        <v>0</v>
      </c>
      <c r="Q25" s="4">
        <f t="shared" si="2"/>
        <v>0</v>
      </c>
      <c r="S25" s="78">
        <v>0</v>
      </c>
      <c r="T25" s="65">
        <f t="shared" si="10"/>
        <v>0</v>
      </c>
      <c r="U25" s="4">
        <f t="shared" si="3"/>
        <v>0</v>
      </c>
      <c r="V25" s="66"/>
      <c r="X25" s="72">
        <f t="shared" si="4"/>
        <v>0</v>
      </c>
      <c r="Y25" s="73">
        <f t="shared" si="5"/>
        <v>0</v>
      </c>
      <c r="Z25" s="74">
        <f t="shared" si="6"/>
        <v>0</v>
      </c>
    </row>
    <row r="26" spans="1:26" x14ac:dyDescent="0.15">
      <c r="A26" s="1" t="s">
        <v>114</v>
      </c>
      <c r="B26" s="32" t="s">
        <v>115</v>
      </c>
      <c r="C26" s="1">
        <v>1.3</v>
      </c>
      <c r="I26" s="3">
        <f t="shared" ref="I26:I31" si="11">I25+1</f>
        <v>20</v>
      </c>
      <c r="J26" s="2">
        <v>0</v>
      </c>
      <c r="K26" s="4">
        <v>0</v>
      </c>
      <c r="L26" s="4">
        <f t="shared" ref="L26:L31" si="12">L25</f>
        <v>0</v>
      </c>
      <c r="M26" s="4">
        <f t="shared" ref="M26:M31" si="13">M25</f>
        <v>0</v>
      </c>
      <c r="N26" s="4">
        <f t="shared" si="0"/>
        <v>0</v>
      </c>
      <c r="O26" s="4">
        <f t="shared" si="1"/>
        <v>0</v>
      </c>
      <c r="P26" s="4">
        <f>$C$28*'O&amp;M Cost'!E25*24*$C$25</f>
        <v>0</v>
      </c>
      <c r="Q26" s="4">
        <f t="shared" si="2"/>
        <v>0</v>
      </c>
      <c r="S26" s="78">
        <v>0</v>
      </c>
      <c r="T26" s="65">
        <f t="shared" si="10"/>
        <v>0</v>
      </c>
      <c r="U26" s="4">
        <f t="shared" si="3"/>
        <v>0</v>
      </c>
      <c r="V26" s="66"/>
      <c r="X26" s="72">
        <f t="shared" si="4"/>
        <v>0</v>
      </c>
      <c r="Y26" s="73">
        <f t="shared" si="5"/>
        <v>0</v>
      </c>
      <c r="Z26" s="74">
        <f t="shared" si="6"/>
        <v>0</v>
      </c>
    </row>
    <row r="27" spans="1:26" ht="13" x14ac:dyDescent="0.15">
      <c r="A27" s="62" t="s">
        <v>126</v>
      </c>
      <c r="B27" s="32" t="s">
        <v>116</v>
      </c>
      <c r="C27" s="64" t="s">
        <v>127</v>
      </c>
      <c r="I27" s="3">
        <f t="shared" si="11"/>
        <v>21</v>
      </c>
      <c r="J27" s="2">
        <v>0</v>
      </c>
      <c r="K27" s="4">
        <v>0</v>
      </c>
      <c r="L27" s="4">
        <f t="shared" si="12"/>
        <v>0</v>
      </c>
      <c r="M27" s="4">
        <f t="shared" si="13"/>
        <v>0</v>
      </c>
      <c r="N27" s="4">
        <f t="shared" si="0"/>
        <v>0</v>
      </c>
      <c r="O27" s="4">
        <f t="shared" si="1"/>
        <v>0</v>
      </c>
      <c r="P27" s="4">
        <f>$C$28*'O&amp;M Cost'!E26*24*$C$25</f>
        <v>0</v>
      </c>
      <c r="Q27" s="4">
        <f t="shared" si="2"/>
        <v>0</v>
      </c>
      <c r="S27" s="78">
        <v>0</v>
      </c>
      <c r="T27" s="65">
        <f t="shared" si="10"/>
        <v>0</v>
      </c>
      <c r="U27" s="4">
        <f t="shared" si="3"/>
        <v>0</v>
      </c>
      <c r="V27" s="66"/>
      <c r="X27" s="72">
        <f t="shared" si="4"/>
        <v>0</v>
      </c>
      <c r="Y27" s="73">
        <f t="shared" si="5"/>
        <v>0</v>
      </c>
      <c r="Z27" s="74">
        <f t="shared" si="6"/>
        <v>0</v>
      </c>
    </row>
    <row r="28" spans="1:26" x14ac:dyDescent="0.15">
      <c r="A28" s="1" t="s">
        <v>53</v>
      </c>
      <c r="B28" s="32" t="s">
        <v>140</v>
      </c>
      <c r="C28" s="1">
        <v>65</v>
      </c>
      <c r="I28" s="3">
        <f t="shared" si="11"/>
        <v>22</v>
      </c>
      <c r="J28" s="2">
        <v>0</v>
      </c>
      <c r="K28" s="4">
        <v>0</v>
      </c>
      <c r="L28" s="4">
        <f t="shared" si="12"/>
        <v>0</v>
      </c>
      <c r="M28" s="4">
        <f t="shared" si="13"/>
        <v>0</v>
      </c>
      <c r="N28" s="4">
        <f t="shared" si="0"/>
        <v>0</v>
      </c>
      <c r="O28" s="4">
        <f t="shared" si="1"/>
        <v>0</v>
      </c>
      <c r="P28" s="4">
        <f>$C$28*'O&amp;M Cost'!E27*24*$C$25</f>
        <v>0</v>
      </c>
      <c r="Q28" s="4">
        <f t="shared" si="2"/>
        <v>0</v>
      </c>
      <c r="S28" s="78">
        <v>0</v>
      </c>
      <c r="T28" s="65">
        <f t="shared" si="10"/>
        <v>0</v>
      </c>
      <c r="U28" s="4">
        <f t="shared" si="3"/>
        <v>0</v>
      </c>
      <c r="V28" s="66"/>
      <c r="X28" s="72">
        <f t="shared" si="4"/>
        <v>0</v>
      </c>
      <c r="Y28" s="73">
        <f t="shared" si="5"/>
        <v>0</v>
      </c>
      <c r="Z28" s="74">
        <f t="shared" si="6"/>
        <v>0</v>
      </c>
    </row>
    <row r="29" spans="1:26" x14ac:dyDescent="0.15">
      <c r="A29" s="26" t="s">
        <v>52</v>
      </c>
      <c r="I29" s="3">
        <f t="shared" si="11"/>
        <v>23</v>
      </c>
      <c r="J29" s="2">
        <v>0</v>
      </c>
      <c r="K29" s="4">
        <v>0</v>
      </c>
      <c r="L29" s="4">
        <f t="shared" si="12"/>
        <v>0</v>
      </c>
      <c r="M29" s="4">
        <f t="shared" si="13"/>
        <v>0</v>
      </c>
      <c r="N29" s="4">
        <f t="shared" si="0"/>
        <v>0</v>
      </c>
      <c r="O29" s="4">
        <f t="shared" si="1"/>
        <v>0</v>
      </c>
      <c r="P29" s="4">
        <f>$C$28*'O&amp;M Cost'!E28*24*$C$25</f>
        <v>0</v>
      </c>
      <c r="Q29" s="4">
        <f t="shared" si="2"/>
        <v>0</v>
      </c>
      <c r="S29" s="78">
        <v>0</v>
      </c>
      <c r="T29" s="65">
        <f t="shared" si="10"/>
        <v>0</v>
      </c>
      <c r="U29" s="4">
        <f t="shared" si="3"/>
        <v>0</v>
      </c>
      <c r="V29" s="66"/>
      <c r="X29" s="72">
        <f t="shared" si="4"/>
        <v>0</v>
      </c>
      <c r="Y29" s="73">
        <f t="shared" si="5"/>
        <v>0</v>
      </c>
      <c r="Z29" s="74">
        <f t="shared" si="6"/>
        <v>0</v>
      </c>
    </row>
    <row r="30" spans="1:26" x14ac:dyDescent="0.15">
      <c r="A30" s="1" t="s">
        <v>55</v>
      </c>
      <c r="I30" s="3">
        <f t="shared" si="11"/>
        <v>24</v>
      </c>
      <c r="J30" s="2">
        <v>0</v>
      </c>
      <c r="K30" s="4">
        <v>0</v>
      </c>
      <c r="L30" s="4">
        <f t="shared" si="12"/>
        <v>0</v>
      </c>
      <c r="M30" s="4">
        <f t="shared" si="13"/>
        <v>0</v>
      </c>
      <c r="N30" s="4">
        <f t="shared" si="0"/>
        <v>0</v>
      </c>
      <c r="O30" s="4">
        <f t="shared" si="1"/>
        <v>0</v>
      </c>
      <c r="P30" s="4">
        <f>$C$28*'O&amp;M Cost'!E29*24*$C$25</f>
        <v>0</v>
      </c>
      <c r="Q30" s="4">
        <f t="shared" si="2"/>
        <v>0</v>
      </c>
      <c r="S30" s="78">
        <v>0</v>
      </c>
      <c r="T30" s="65">
        <f t="shared" si="10"/>
        <v>0</v>
      </c>
      <c r="U30" s="4">
        <f t="shared" si="3"/>
        <v>0</v>
      </c>
      <c r="V30" s="66"/>
      <c r="X30" s="72">
        <f t="shared" si="4"/>
        <v>0</v>
      </c>
      <c r="Y30" s="73">
        <f t="shared" si="5"/>
        <v>0</v>
      </c>
      <c r="Z30" s="74">
        <f t="shared" si="6"/>
        <v>0</v>
      </c>
    </row>
    <row r="31" spans="1:26" x14ac:dyDescent="0.15">
      <c r="A31" s="1" t="s">
        <v>17</v>
      </c>
      <c r="I31" s="3">
        <f t="shared" si="11"/>
        <v>25</v>
      </c>
      <c r="J31" s="2">
        <v>0</v>
      </c>
      <c r="K31" s="4">
        <v>0</v>
      </c>
      <c r="L31" s="4">
        <f t="shared" si="12"/>
        <v>0</v>
      </c>
      <c r="M31" s="4">
        <f t="shared" si="13"/>
        <v>0</v>
      </c>
      <c r="N31" s="4">
        <f t="shared" si="0"/>
        <v>0</v>
      </c>
      <c r="O31" s="4">
        <f t="shared" si="1"/>
        <v>0</v>
      </c>
      <c r="P31" s="4">
        <f>$C$28*'O&amp;M Cost'!E30*24*$C$25</f>
        <v>0</v>
      </c>
      <c r="Q31" s="4">
        <f t="shared" si="2"/>
        <v>0</v>
      </c>
      <c r="S31" s="78">
        <v>0</v>
      </c>
      <c r="T31" s="65">
        <f t="shared" si="10"/>
        <v>0</v>
      </c>
      <c r="U31" s="4">
        <f t="shared" si="3"/>
        <v>0</v>
      </c>
      <c r="V31" s="66"/>
      <c r="X31" s="75">
        <f t="shared" si="4"/>
        <v>0</v>
      </c>
      <c r="Y31" s="76">
        <f t="shared" si="5"/>
        <v>0</v>
      </c>
      <c r="Z31" s="77">
        <f t="shared" si="6"/>
        <v>0</v>
      </c>
    </row>
    <row r="32" spans="1:26" x14ac:dyDescent="0.15">
      <c r="A32" s="1" t="s">
        <v>54</v>
      </c>
    </row>
    <row r="33" spans="1:17" x14ac:dyDescent="0.15">
      <c r="A33" s="1" t="s">
        <v>53</v>
      </c>
      <c r="C33" s="30"/>
      <c r="I33" s="90" t="s">
        <v>42</v>
      </c>
      <c r="J33" s="90"/>
      <c r="K33" s="90"/>
      <c r="L33" s="90"/>
      <c r="M33" s="90"/>
      <c r="N33" s="90"/>
      <c r="O33" s="90"/>
      <c r="P33" s="90"/>
      <c r="Q33" s="90"/>
    </row>
    <row r="34" spans="1:17" ht="13" x14ac:dyDescent="0.15">
      <c r="A34" s="1" t="s">
        <v>128</v>
      </c>
      <c r="B34" s="21"/>
      <c r="I34" s="80" t="s">
        <v>16</v>
      </c>
      <c r="J34" s="16" t="s">
        <v>25</v>
      </c>
      <c r="K34" s="16" t="s">
        <v>26</v>
      </c>
      <c r="L34" s="16" t="s">
        <v>28</v>
      </c>
      <c r="M34" s="16" t="s">
        <v>27</v>
      </c>
      <c r="N34" s="16" t="s">
        <v>4</v>
      </c>
      <c r="O34" s="16" t="s">
        <v>32</v>
      </c>
      <c r="P34" s="16" t="s">
        <v>47</v>
      </c>
      <c r="Q34" s="3" t="s">
        <v>44</v>
      </c>
    </row>
    <row r="35" spans="1:17" x14ac:dyDescent="0.15">
      <c r="B35" s="29"/>
      <c r="E35" s="2"/>
      <c r="I35" s="3">
        <v>1</v>
      </c>
      <c r="J35" s="27">
        <f t="shared" ref="J35:Q44" si="14">J7/($C$22*$C$25)</f>
        <v>0</v>
      </c>
      <c r="K35" s="27">
        <f t="shared" si="14"/>
        <v>0</v>
      </c>
      <c r="L35" s="27">
        <f t="shared" si="14"/>
        <v>0</v>
      </c>
      <c r="M35" s="27">
        <f t="shared" si="14"/>
        <v>0</v>
      </c>
      <c r="N35" s="27">
        <f t="shared" si="14"/>
        <v>0</v>
      </c>
      <c r="O35" s="27">
        <f t="shared" si="14"/>
        <v>0</v>
      </c>
      <c r="P35" s="27">
        <f t="shared" si="14"/>
        <v>0</v>
      </c>
      <c r="Q35" s="28">
        <f t="shared" si="14"/>
        <v>0</v>
      </c>
    </row>
    <row r="36" spans="1:17" x14ac:dyDescent="0.15">
      <c r="A36" s="33" t="s">
        <v>137</v>
      </c>
      <c r="B36" s="29"/>
      <c r="E36" s="2"/>
      <c r="I36" s="3">
        <f>I35+1</f>
        <v>2</v>
      </c>
      <c r="J36" s="27">
        <f t="shared" si="14"/>
        <v>0</v>
      </c>
      <c r="K36" s="27">
        <f t="shared" si="14"/>
        <v>0</v>
      </c>
      <c r="L36" s="27">
        <f t="shared" si="14"/>
        <v>0</v>
      </c>
      <c r="M36" s="27">
        <f t="shared" si="14"/>
        <v>0</v>
      </c>
      <c r="N36" s="27">
        <f t="shared" si="14"/>
        <v>0</v>
      </c>
      <c r="O36" s="27">
        <f t="shared" si="14"/>
        <v>0</v>
      </c>
      <c r="P36" s="27">
        <f t="shared" si="14"/>
        <v>0</v>
      </c>
      <c r="Q36" s="28">
        <f t="shared" si="14"/>
        <v>0</v>
      </c>
    </row>
    <row r="37" spans="1:17" x14ac:dyDescent="0.15">
      <c r="A37" s="88" t="s">
        <v>138</v>
      </c>
      <c r="B37" s="88"/>
      <c r="C37" s="88"/>
      <c r="D37" s="88"/>
      <c r="E37" s="88"/>
      <c r="F37" s="88"/>
      <c r="G37" s="88"/>
      <c r="I37" s="3">
        <f t="shared" ref="I37:I59" si="15">I36+1</f>
        <v>3</v>
      </c>
      <c r="J37" s="27">
        <f t="shared" si="14"/>
        <v>0</v>
      </c>
      <c r="K37" s="27">
        <f t="shared" si="14"/>
        <v>0</v>
      </c>
      <c r="L37" s="27">
        <f t="shared" si="14"/>
        <v>0</v>
      </c>
      <c r="M37" s="27">
        <f t="shared" si="14"/>
        <v>0</v>
      </c>
      <c r="N37" s="27">
        <f t="shared" si="14"/>
        <v>0</v>
      </c>
      <c r="O37" s="27">
        <f t="shared" si="14"/>
        <v>0</v>
      </c>
      <c r="P37" s="27">
        <f t="shared" si="14"/>
        <v>0</v>
      </c>
      <c r="Q37" s="28">
        <f t="shared" si="14"/>
        <v>0</v>
      </c>
    </row>
    <row r="38" spans="1:17" x14ac:dyDescent="0.15">
      <c r="A38" s="88" t="s">
        <v>143</v>
      </c>
      <c r="B38" s="88"/>
      <c r="C38" s="88"/>
      <c r="D38" s="88"/>
      <c r="E38" s="88"/>
      <c r="F38" s="88"/>
      <c r="G38" s="88"/>
      <c r="I38" s="3">
        <f t="shared" si="15"/>
        <v>4</v>
      </c>
      <c r="J38" s="27">
        <f t="shared" si="14"/>
        <v>0</v>
      </c>
      <c r="K38" s="27">
        <f t="shared" si="14"/>
        <v>0</v>
      </c>
      <c r="L38" s="27">
        <f t="shared" si="14"/>
        <v>0</v>
      </c>
      <c r="M38" s="27">
        <f t="shared" si="14"/>
        <v>0</v>
      </c>
      <c r="N38" s="27">
        <f t="shared" si="14"/>
        <v>0</v>
      </c>
      <c r="O38" s="27">
        <f t="shared" si="14"/>
        <v>0</v>
      </c>
      <c r="P38" s="27">
        <f t="shared" si="14"/>
        <v>0</v>
      </c>
      <c r="Q38" s="28">
        <f t="shared" si="14"/>
        <v>0</v>
      </c>
    </row>
    <row r="39" spans="1:17" ht="14.5" customHeight="1" x14ac:dyDescent="0.15">
      <c r="A39" s="88" t="s">
        <v>145</v>
      </c>
      <c r="B39" s="88"/>
      <c r="C39" s="88"/>
      <c r="D39" s="88"/>
      <c r="E39" s="88"/>
      <c r="F39" s="88"/>
      <c r="G39" s="88"/>
      <c r="I39" s="3">
        <f t="shared" si="15"/>
        <v>5</v>
      </c>
      <c r="J39" s="27">
        <f t="shared" si="14"/>
        <v>0</v>
      </c>
      <c r="K39" s="27">
        <f t="shared" si="14"/>
        <v>0</v>
      </c>
      <c r="L39" s="27">
        <f t="shared" si="14"/>
        <v>0</v>
      </c>
      <c r="M39" s="27">
        <f t="shared" si="14"/>
        <v>0</v>
      </c>
      <c r="N39" s="27">
        <f t="shared" si="14"/>
        <v>0</v>
      </c>
      <c r="O39" s="27">
        <f t="shared" si="14"/>
        <v>0</v>
      </c>
      <c r="P39" s="27">
        <f t="shared" si="14"/>
        <v>0</v>
      </c>
      <c r="Q39" s="28">
        <f t="shared" si="14"/>
        <v>0</v>
      </c>
    </row>
    <row r="40" spans="1:17" x14ac:dyDescent="0.15">
      <c r="B40" s="29"/>
      <c r="E40" s="2"/>
      <c r="I40" s="3">
        <f t="shared" si="15"/>
        <v>6</v>
      </c>
      <c r="J40" s="27">
        <f t="shared" si="14"/>
        <v>0</v>
      </c>
      <c r="K40" s="27">
        <f t="shared" si="14"/>
        <v>0</v>
      </c>
      <c r="L40" s="27">
        <f t="shared" si="14"/>
        <v>0</v>
      </c>
      <c r="M40" s="27">
        <f t="shared" si="14"/>
        <v>0</v>
      </c>
      <c r="N40" s="27">
        <f t="shared" si="14"/>
        <v>0</v>
      </c>
      <c r="O40" s="27">
        <f t="shared" si="14"/>
        <v>0</v>
      </c>
      <c r="P40" s="27">
        <f t="shared" si="14"/>
        <v>0</v>
      </c>
      <c r="Q40" s="28">
        <f t="shared" si="14"/>
        <v>0</v>
      </c>
    </row>
    <row r="41" spans="1:17" x14ac:dyDescent="0.15">
      <c r="A41" s="11"/>
      <c r="B41" s="11"/>
      <c r="E41" s="2"/>
      <c r="I41" s="3">
        <f t="shared" si="15"/>
        <v>7</v>
      </c>
      <c r="J41" s="27">
        <f t="shared" si="14"/>
        <v>0</v>
      </c>
      <c r="K41" s="27">
        <f t="shared" si="14"/>
        <v>0</v>
      </c>
      <c r="L41" s="27">
        <f t="shared" si="14"/>
        <v>0</v>
      </c>
      <c r="M41" s="27">
        <f t="shared" si="14"/>
        <v>0</v>
      </c>
      <c r="N41" s="27">
        <f t="shared" si="14"/>
        <v>0</v>
      </c>
      <c r="O41" s="27">
        <f t="shared" si="14"/>
        <v>0</v>
      </c>
      <c r="P41" s="27">
        <f t="shared" si="14"/>
        <v>0</v>
      </c>
      <c r="Q41" s="28">
        <f t="shared" si="14"/>
        <v>0</v>
      </c>
    </row>
    <row r="42" spans="1:17" x14ac:dyDescent="0.15">
      <c r="C42" s="30"/>
      <c r="E42" s="2"/>
      <c r="I42" s="3">
        <f t="shared" si="15"/>
        <v>8</v>
      </c>
      <c r="J42" s="27">
        <f t="shared" si="14"/>
        <v>0</v>
      </c>
      <c r="K42" s="27">
        <f t="shared" si="14"/>
        <v>0</v>
      </c>
      <c r="L42" s="27">
        <f t="shared" si="14"/>
        <v>0</v>
      </c>
      <c r="M42" s="27">
        <f t="shared" si="14"/>
        <v>0</v>
      </c>
      <c r="N42" s="27">
        <f t="shared" si="14"/>
        <v>0</v>
      </c>
      <c r="O42" s="27">
        <f t="shared" si="14"/>
        <v>0</v>
      </c>
      <c r="P42" s="27">
        <f t="shared" si="14"/>
        <v>0</v>
      </c>
      <c r="Q42" s="28">
        <f t="shared" si="14"/>
        <v>0</v>
      </c>
    </row>
    <row r="43" spans="1:17" x14ac:dyDescent="0.15">
      <c r="A43" s="3"/>
      <c r="B43" s="3"/>
      <c r="C43" s="31"/>
      <c r="D43" s="30">
        <v>0.5</v>
      </c>
      <c r="E43" s="2"/>
      <c r="I43" s="3">
        <f t="shared" si="15"/>
        <v>9</v>
      </c>
      <c r="J43" s="27">
        <f t="shared" si="14"/>
        <v>0</v>
      </c>
      <c r="K43" s="27">
        <f t="shared" si="14"/>
        <v>0</v>
      </c>
      <c r="L43" s="27">
        <f t="shared" si="14"/>
        <v>0</v>
      </c>
      <c r="M43" s="27">
        <f t="shared" si="14"/>
        <v>0</v>
      </c>
      <c r="N43" s="27">
        <f t="shared" si="14"/>
        <v>0</v>
      </c>
      <c r="O43" s="27">
        <f t="shared" si="14"/>
        <v>0</v>
      </c>
      <c r="P43" s="27">
        <f t="shared" si="14"/>
        <v>0</v>
      </c>
      <c r="Q43" s="28">
        <f t="shared" si="14"/>
        <v>0</v>
      </c>
    </row>
    <row r="44" spans="1:17" x14ac:dyDescent="0.15">
      <c r="C44" s="2"/>
      <c r="D44" s="31">
        <v>2</v>
      </c>
      <c r="E44" s="2"/>
      <c r="I44" s="3">
        <f t="shared" si="15"/>
        <v>10</v>
      </c>
      <c r="J44" s="27">
        <f t="shared" si="14"/>
        <v>0</v>
      </c>
      <c r="K44" s="27">
        <f t="shared" si="14"/>
        <v>0</v>
      </c>
      <c r="L44" s="27">
        <f t="shared" si="14"/>
        <v>0</v>
      </c>
      <c r="M44" s="27">
        <f t="shared" si="14"/>
        <v>0</v>
      </c>
      <c r="N44" s="27">
        <f t="shared" si="14"/>
        <v>0</v>
      </c>
      <c r="O44" s="27">
        <f t="shared" si="14"/>
        <v>0</v>
      </c>
      <c r="P44" s="27">
        <f t="shared" si="14"/>
        <v>0</v>
      </c>
      <c r="Q44" s="28">
        <f t="shared" si="14"/>
        <v>0</v>
      </c>
    </row>
    <row r="45" spans="1:17" x14ac:dyDescent="0.15">
      <c r="C45" s="2"/>
      <c r="D45" s="2"/>
      <c r="E45" s="2"/>
      <c r="I45" s="3">
        <f t="shared" si="15"/>
        <v>11</v>
      </c>
      <c r="J45" s="27">
        <f t="shared" ref="J45:Q54" si="16">J17/($C$22*$C$25)</f>
        <v>0</v>
      </c>
      <c r="K45" s="27">
        <f t="shared" si="16"/>
        <v>0</v>
      </c>
      <c r="L45" s="27">
        <f t="shared" si="16"/>
        <v>0</v>
      </c>
      <c r="M45" s="27">
        <f t="shared" si="16"/>
        <v>0</v>
      </c>
      <c r="N45" s="27">
        <f t="shared" si="16"/>
        <v>0</v>
      </c>
      <c r="O45" s="27">
        <f t="shared" si="16"/>
        <v>0</v>
      </c>
      <c r="P45" s="27">
        <f t="shared" si="16"/>
        <v>0</v>
      </c>
      <c r="Q45" s="28">
        <f t="shared" si="16"/>
        <v>0</v>
      </c>
    </row>
    <row r="46" spans="1:17" x14ac:dyDescent="0.15">
      <c r="C46" s="2"/>
      <c r="E46" s="2"/>
      <c r="I46" s="3">
        <f t="shared" si="15"/>
        <v>12</v>
      </c>
      <c r="J46" s="27">
        <f t="shared" si="16"/>
        <v>0</v>
      </c>
      <c r="K46" s="27">
        <f t="shared" si="16"/>
        <v>0</v>
      </c>
      <c r="L46" s="27">
        <f t="shared" si="16"/>
        <v>0</v>
      </c>
      <c r="M46" s="27">
        <f t="shared" si="16"/>
        <v>0</v>
      </c>
      <c r="N46" s="27">
        <f t="shared" si="16"/>
        <v>0</v>
      </c>
      <c r="O46" s="27">
        <f t="shared" si="16"/>
        <v>0</v>
      </c>
      <c r="P46" s="27">
        <f t="shared" si="16"/>
        <v>0</v>
      </c>
      <c r="Q46" s="28">
        <f t="shared" si="16"/>
        <v>0</v>
      </c>
    </row>
    <row r="47" spans="1:17" x14ac:dyDescent="0.15">
      <c r="C47" s="2"/>
      <c r="I47" s="3">
        <f t="shared" si="15"/>
        <v>13</v>
      </c>
      <c r="J47" s="27">
        <f t="shared" si="16"/>
        <v>0</v>
      </c>
      <c r="K47" s="27">
        <f t="shared" si="16"/>
        <v>0</v>
      </c>
      <c r="L47" s="27">
        <f t="shared" si="16"/>
        <v>0</v>
      </c>
      <c r="M47" s="27">
        <f t="shared" si="16"/>
        <v>0</v>
      </c>
      <c r="N47" s="27">
        <f t="shared" si="16"/>
        <v>0</v>
      </c>
      <c r="O47" s="27">
        <f t="shared" si="16"/>
        <v>0</v>
      </c>
      <c r="P47" s="27">
        <f t="shared" si="16"/>
        <v>0</v>
      </c>
      <c r="Q47" s="28">
        <f t="shared" si="16"/>
        <v>0</v>
      </c>
    </row>
    <row r="48" spans="1:17" x14ac:dyDescent="0.15">
      <c r="C48" s="2"/>
      <c r="D48" s="2"/>
      <c r="I48" s="3">
        <f t="shared" si="15"/>
        <v>14</v>
      </c>
      <c r="J48" s="27">
        <f t="shared" si="16"/>
        <v>0</v>
      </c>
      <c r="K48" s="27">
        <f t="shared" si="16"/>
        <v>0</v>
      </c>
      <c r="L48" s="27">
        <f t="shared" si="16"/>
        <v>0</v>
      </c>
      <c r="M48" s="27">
        <f t="shared" si="16"/>
        <v>0</v>
      </c>
      <c r="N48" s="27">
        <f t="shared" si="16"/>
        <v>0</v>
      </c>
      <c r="O48" s="27">
        <f t="shared" si="16"/>
        <v>0</v>
      </c>
      <c r="P48" s="27">
        <f t="shared" si="16"/>
        <v>0</v>
      </c>
      <c r="Q48" s="28">
        <f t="shared" si="16"/>
        <v>0</v>
      </c>
    </row>
    <row r="49" spans="3:17" x14ac:dyDescent="0.15">
      <c r="C49" s="2"/>
      <c r="D49" s="2"/>
      <c r="I49" s="3">
        <f t="shared" si="15"/>
        <v>15</v>
      </c>
      <c r="J49" s="27">
        <f t="shared" si="16"/>
        <v>0</v>
      </c>
      <c r="K49" s="27">
        <f t="shared" si="16"/>
        <v>0</v>
      </c>
      <c r="L49" s="27">
        <f t="shared" si="16"/>
        <v>0</v>
      </c>
      <c r="M49" s="27">
        <f t="shared" si="16"/>
        <v>0</v>
      </c>
      <c r="N49" s="27">
        <f t="shared" si="16"/>
        <v>0</v>
      </c>
      <c r="O49" s="27">
        <f t="shared" si="16"/>
        <v>0</v>
      </c>
      <c r="P49" s="27">
        <f t="shared" si="16"/>
        <v>0</v>
      </c>
      <c r="Q49" s="28">
        <f t="shared" si="16"/>
        <v>0</v>
      </c>
    </row>
    <row r="50" spans="3:17" x14ac:dyDescent="0.15">
      <c r="C50" s="2"/>
      <c r="D50" s="2"/>
      <c r="I50" s="3">
        <f t="shared" si="15"/>
        <v>16</v>
      </c>
      <c r="J50" s="27">
        <f t="shared" si="16"/>
        <v>0</v>
      </c>
      <c r="K50" s="27">
        <f t="shared" si="16"/>
        <v>0</v>
      </c>
      <c r="L50" s="27">
        <f t="shared" si="16"/>
        <v>0</v>
      </c>
      <c r="M50" s="27">
        <f t="shared" si="16"/>
        <v>0</v>
      </c>
      <c r="N50" s="27">
        <f t="shared" si="16"/>
        <v>0</v>
      </c>
      <c r="O50" s="27">
        <f t="shared" si="16"/>
        <v>0</v>
      </c>
      <c r="P50" s="27">
        <f t="shared" si="16"/>
        <v>0</v>
      </c>
      <c r="Q50" s="28">
        <f t="shared" si="16"/>
        <v>0</v>
      </c>
    </row>
    <row r="51" spans="3:17" x14ac:dyDescent="0.15">
      <c r="C51" s="2"/>
      <c r="D51" s="2"/>
      <c r="I51" s="3">
        <f t="shared" si="15"/>
        <v>17</v>
      </c>
      <c r="J51" s="27">
        <f t="shared" si="16"/>
        <v>0</v>
      </c>
      <c r="K51" s="27">
        <f t="shared" si="16"/>
        <v>0</v>
      </c>
      <c r="L51" s="27">
        <f t="shared" si="16"/>
        <v>0</v>
      </c>
      <c r="M51" s="27">
        <f t="shared" si="16"/>
        <v>0</v>
      </c>
      <c r="N51" s="27">
        <f t="shared" si="16"/>
        <v>0</v>
      </c>
      <c r="O51" s="27">
        <f t="shared" si="16"/>
        <v>0</v>
      </c>
      <c r="P51" s="27">
        <f t="shared" si="16"/>
        <v>0</v>
      </c>
      <c r="Q51" s="28">
        <f t="shared" si="16"/>
        <v>0</v>
      </c>
    </row>
    <row r="52" spans="3:17" x14ac:dyDescent="0.15">
      <c r="C52" s="2"/>
      <c r="D52" s="2"/>
      <c r="I52" s="3">
        <f t="shared" si="15"/>
        <v>18</v>
      </c>
      <c r="J52" s="27">
        <f t="shared" si="16"/>
        <v>0</v>
      </c>
      <c r="K52" s="27">
        <f t="shared" si="16"/>
        <v>0</v>
      </c>
      <c r="L52" s="27">
        <f t="shared" si="16"/>
        <v>0</v>
      </c>
      <c r="M52" s="27">
        <f t="shared" si="16"/>
        <v>0</v>
      </c>
      <c r="N52" s="27">
        <f t="shared" si="16"/>
        <v>0</v>
      </c>
      <c r="O52" s="27">
        <f t="shared" si="16"/>
        <v>0</v>
      </c>
      <c r="P52" s="27">
        <f t="shared" si="16"/>
        <v>0</v>
      </c>
      <c r="Q52" s="28">
        <f t="shared" si="16"/>
        <v>0</v>
      </c>
    </row>
    <row r="53" spans="3:17" x14ac:dyDescent="0.15">
      <c r="C53" s="2"/>
      <c r="D53" s="2"/>
      <c r="I53" s="3">
        <f t="shared" si="15"/>
        <v>19</v>
      </c>
      <c r="J53" s="27">
        <f t="shared" si="16"/>
        <v>0</v>
      </c>
      <c r="K53" s="27">
        <f t="shared" si="16"/>
        <v>0</v>
      </c>
      <c r="L53" s="27">
        <f t="shared" si="16"/>
        <v>0</v>
      </c>
      <c r="M53" s="27">
        <f t="shared" si="16"/>
        <v>0</v>
      </c>
      <c r="N53" s="27">
        <f t="shared" si="16"/>
        <v>0</v>
      </c>
      <c r="O53" s="27">
        <f t="shared" si="16"/>
        <v>0</v>
      </c>
      <c r="P53" s="27">
        <f t="shared" si="16"/>
        <v>0</v>
      </c>
      <c r="Q53" s="28">
        <f t="shared" si="16"/>
        <v>0</v>
      </c>
    </row>
    <row r="54" spans="3:17" x14ac:dyDescent="0.15">
      <c r="C54" s="2"/>
      <c r="D54" s="2"/>
      <c r="I54" s="3">
        <f t="shared" si="15"/>
        <v>20</v>
      </c>
      <c r="J54" s="27">
        <f t="shared" si="16"/>
        <v>0</v>
      </c>
      <c r="K54" s="27">
        <f t="shared" si="16"/>
        <v>0</v>
      </c>
      <c r="L54" s="27">
        <f t="shared" si="16"/>
        <v>0</v>
      </c>
      <c r="M54" s="27">
        <f t="shared" si="16"/>
        <v>0</v>
      </c>
      <c r="N54" s="27">
        <f t="shared" si="16"/>
        <v>0</v>
      </c>
      <c r="O54" s="27">
        <f t="shared" si="16"/>
        <v>0</v>
      </c>
      <c r="P54" s="27">
        <f t="shared" si="16"/>
        <v>0</v>
      </c>
      <c r="Q54" s="28">
        <f t="shared" si="16"/>
        <v>0</v>
      </c>
    </row>
    <row r="55" spans="3:17" x14ac:dyDescent="0.15">
      <c r="D55" s="2"/>
      <c r="I55" s="3">
        <f t="shared" si="15"/>
        <v>21</v>
      </c>
      <c r="J55" s="27">
        <f t="shared" ref="J55:Q59" si="17">J27/($C$22*$C$25)</f>
        <v>0</v>
      </c>
      <c r="K55" s="27">
        <f t="shared" si="17"/>
        <v>0</v>
      </c>
      <c r="L55" s="27">
        <f t="shared" si="17"/>
        <v>0</v>
      </c>
      <c r="M55" s="27">
        <f t="shared" si="17"/>
        <v>0</v>
      </c>
      <c r="N55" s="27">
        <f t="shared" si="17"/>
        <v>0</v>
      </c>
      <c r="O55" s="27">
        <f t="shared" si="17"/>
        <v>0</v>
      </c>
      <c r="P55" s="27">
        <f t="shared" si="17"/>
        <v>0</v>
      </c>
      <c r="Q55" s="28">
        <f t="shared" si="17"/>
        <v>0</v>
      </c>
    </row>
    <row r="56" spans="3:17" x14ac:dyDescent="0.15">
      <c r="I56" s="3">
        <f t="shared" si="15"/>
        <v>22</v>
      </c>
      <c r="J56" s="27">
        <f t="shared" si="17"/>
        <v>0</v>
      </c>
      <c r="K56" s="27">
        <f t="shared" si="17"/>
        <v>0</v>
      </c>
      <c r="L56" s="27">
        <f t="shared" si="17"/>
        <v>0</v>
      </c>
      <c r="M56" s="27">
        <f t="shared" si="17"/>
        <v>0</v>
      </c>
      <c r="N56" s="27">
        <f t="shared" si="17"/>
        <v>0</v>
      </c>
      <c r="O56" s="27">
        <f t="shared" si="17"/>
        <v>0</v>
      </c>
      <c r="P56" s="27">
        <f t="shared" si="17"/>
        <v>0</v>
      </c>
      <c r="Q56" s="28">
        <f t="shared" si="17"/>
        <v>0</v>
      </c>
    </row>
    <row r="57" spans="3:17" x14ac:dyDescent="0.15">
      <c r="I57" s="3">
        <f t="shared" si="15"/>
        <v>23</v>
      </c>
      <c r="J57" s="27">
        <f t="shared" si="17"/>
        <v>0</v>
      </c>
      <c r="K57" s="27">
        <f t="shared" si="17"/>
        <v>0</v>
      </c>
      <c r="L57" s="27">
        <f t="shared" si="17"/>
        <v>0</v>
      </c>
      <c r="M57" s="27">
        <f t="shared" si="17"/>
        <v>0</v>
      </c>
      <c r="N57" s="27">
        <f t="shared" si="17"/>
        <v>0</v>
      </c>
      <c r="O57" s="27">
        <f t="shared" si="17"/>
        <v>0</v>
      </c>
      <c r="P57" s="27">
        <f t="shared" si="17"/>
        <v>0</v>
      </c>
      <c r="Q57" s="28">
        <f t="shared" si="17"/>
        <v>0</v>
      </c>
    </row>
    <row r="58" spans="3:17" x14ac:dyDescent="0.15">
      <c r="I58" s="3">
        <f t="shared" si="15"/>
        <v>24</v>
      </c>
      <c r="J58" s="27">
        <f t="shared" si="17"/>
        <v>0</v>
      </c>
      <c r="K58" s="27">
        <f t="shared" si="17"/>
        <v>0</v>
      </c>
      <c r="L58" s="27">
        <f t="shared" si="17"/>
        <v>0</v>
      </c>
      <c r="M58" s="27">
        <f t="shared" si="17"/>
        <v>0</v>
      </c>
      <c r="N58" s="27">
        <f t="shared" si="17"/>
        <v>0</v>
      </c>
      <c r="O58" s="27">
        <f t="shared" si="17"/>
        <v>0</v>
      </c>
      <c r="P58" s="27">
        <f t="shared" si="17"/>
        <v>0</v>
      </c>
      <c r="Q58" s="28">
        <f t="shared" si="17"/>
        <v>0</v>
      </c>
    </row>
    <row r="59" spans="3:17" x14ac:dyDescent="0.15">
      <c r="I59" s="3">
        <f t="shared" si="15"/>
        <v>25</v>
      </c>
      <c r="J59" s="27">
        <f t="shared" si="17"/>
        <v>0</v>
      </c>
      <c r="K59" s="27">
        <f t="shared" si="17"/>
        <v>0</v>
      </c>
      <c r="L59" s="27">
        <f t="shared" si="17"/>
        <v>0</v>
      </c>
      <c r="M59" s="27">
        <f t="shared" si="17"/>
        <v>0</v>
      </c>
      <c r="N59" s="27">
        <f t="shared" si="17"/>
        <v>0</v>
      </c>
      <c r="O59" s="27">
        <f t="shared" si="17"/>
        <v>0</v>
      </c>
      <c r="P59" s="27">
        <f t="shared" si="17"/>
        <v>0</v>
      </c>
      <c r="Q59" s="28">
        <f t="shared" si="17"/>
        <v>0</v>
      </c>
    </row>
    <row r="60" spans="3:17" x14ac:dyDescent="0.15">
      <c r="I60" s="83" t="s">
        <v>43</v>
      </c>
      <c r="J60" s="81">
        <f>PMT('Bid Price'!$F$17,$C$24,-NPV('Bid Price'!$F$17,J35:J59))</f>
        <v>0</v>
      </c>
      <c r="K60" s="82">
        <f>PMT('Bid Price'!$F$17,$C$24,-NPV('Bid Price'!$F$17,K35:K59))</f>
        <v>0</v>
      </c>
      <c r="L60" s="82">
        <f>PMT('Bid Price'!$F$17,$C$24,-NPV('Bid Price'!$F$17,L35:L59))</f>
        <v>0</v>
      </c>
      <c r="M60" s="82">
        <f>PMT('Bid Price'!$F$17,$C$24,-NPV('Bid Price'!$F$17,M35:M59))</f>
        <v>0</v>
      </c>
      <c r="N60" s="82">
        <f>PMT('Bid Price'!$F$17,$C$24,-NPV('Bid Price'!$F$17,N35:N59))</f>
        <v>0</v>
      </c>
      <c r="O60" s="82">
        <f>PMT('Bid Price'!$F$17,$C$24,-NPV('Bid Price'!$F$17,O35:O59))</f>
        <v>0</v>
      </c>
      <c r="P60" s="82">
        <f>PMT('Bid Price'!$F$17,$C$24,-NPV('Bid Price'!$F$17,P35:P59))</f>
        <v>0</v>
      </c>
      <c r="Q60" s="82">
        <f>PMT('Bid Price'!$F$17,$C$24,-NPV('Bid Price'!$F$17,Q35:Q59))</f>
        <v>0</v>
      </c>
    </row>
  </sheetData>
  <mergeCells count="7">
    <mergeCell ref="X4:Z4"/>
    <mergeCell ref="A37:G37"/>
    <mergeCell ref="A38:G38"/>
    <mergeCell ref="A39:G39"/>
    <mergeCell ref="S4:U4"/>
    <mergeCell ref="I33:Q33"/>
    <mergeCell ref="I4:Q4"/>
  </mergeCells>
  <conditionalFormatting sqref="Z7:Z31">
    <cfRule type="cellIs" dxfId="1" priority="1" operator="lessThan">
      <formula>1.3</formula>
    </cfRule>
    <cfRule type="cellIs" dxfId="0" priority="2" operator="greaterThan">
      <formula>1.29999999999999</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1]!Balance">
                <anchor moveWithCells="1" sizeWithCells="1">
                  <from>
                    <xdr:col>4</xdr:col>
                    <xdr:colOff>25400</xdr:colOff>
                    <xdr:row>19</xdr:row>
                    <xdr:rowOff>12700</xdr:rowOff>
                  </from>
                  <to>
                    <xdr:col>6</xdr:col>
                    <xdr:colOff>1358900</xdr:colOff>
                    <xdr:row>20</xdr:row>
                    <xdr:rowOff>139700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E1C8-6A2D-4AFD-A33B-E0D9653F632D}">
  <sheetPr codeName="Sheet3"/>
  <dimension ref="A1:H30"/>
  <sheetViews>
    <sheetView zoomScale="70" zoomScaleNormal="70" workbookViewId="0"/>
  </sheetViews>
  <sheetFormatPr baseColWidth="10" defaultColWidth="8.83203125" defaultRowHeight="12" x14ac:dyDescent="0.15"/>
  <cols>
    <col min="1" max="1" width="29.6640625" style="1" customWidth="1"/>
    <col min="2" max="2" width="34.83203125" style="1" customWidth="1"/>
    <col min="3" max="3" width="14.83203125" style="1" customWidth="1"/>
    <col min="4" max="5" width="36.33203125" style="1" customWidth="1"/>
    <col min="6" max="7" width="8.83203125" style="1"/>
    <col min="8" max="8" width="24.6640625" style="1" bestFit="1" customWidth="1"/>
    <col min="9" max="16384" width="8.83203125" style="1"/>
  </cols>
  <sheetData>
    <row r="1" spans="1:8" s="9" customFormat="1" x14ac:dyDescent="0.15">
      <c r="A1" s="8" t="s">
        <v>0</v>
      </c>
      <c r="B1" s="8"/>
    </row>
    <row r="2" spans="1:8" s="10" customFormat="1" x14ac:dyDescent="0.15">
      <c r="A2" s="60" t="s">
        <v>67</v>
      </c>
    </row>
    <row r="4" spans="1:8" ht="16" x14ac:dyDescent="0.2">
      <c r="A4" s="58" t="s">
        <v>28</v>
      </c>
      <c r="B4" s="59"/>
      <c r="D4" s="58" t="s">
        <v>135</v>
      </c>
      <c r="E4" s="59"/>
    </row>
    <row r="5" spans="1:8" ht="16" x14ac:dyDescent="0.2">
      <c r="A5" s="56" t="s">
        <v>80</v>
      </c>
      <c r="B5" s="56" t="s">
        <v>108</v>
      </c>
      <c r="D5" s="57" t="s">
        <v>16</v>
      </c>
      <c r="E5" s="56" t="s">
        <v>106</v>
      </c>
      <c r="H5" s="84" t="s">
        <v>139</v>
      </c>
    </row>
    <row r="6" spans="1:8" x14ac:dyDescent="0.15">
      <c r="A6" s="5" t="s">
        <v>68</v>
      </c>
      <c r="B6" s="43">
        <v>0</v>
      </c>
      <c r="C6" s="52"/>
      <c r="D6" s="5" t="s">
        <v>81</v>
      </c>
      <c r="E6" s="53">
        <v>0</v>
      </c>
      <c r="H6" s="2">
        <f>E6*24*'Bid Price'!$C$25</f>
        <v>0</v>
      </c>
    </row>
    <row r="7" spans="1:8" x14ac:dyDescent="0.15">
      <c r="A7" s="1" t="s">
        <v>71</v>
      </c>
      <c r="B7" s="53">
        <v>0</v>
      </c>
      <c r="D7" s="1" t="s">
        <v>82</v>
      </c>
      <c r="E7" s="53">
        <v>0</v>
      </c>
      <c r="H7" s="2">
        <f>E7*24*'Bid Price'!$C$25</f>
        <v>0</v>
      </c>
    </row>
    <row r="8" spans="1:8" x14ac:dyDescent="0.15">
      <c r="A8" s="1" t="s">
        <v>70</v>
      </c>
      <c r="B8" s="53">
        <v>0</v>
      </c>
      <c r="D8" s="5" t="s">
        <v>83</v>
      </c>
      <c r="E8" s="53">
        <v>0</v>
      </c>
      <c r="H8" s="2">
        <f>E8*24*'Bid Price'!$C$25</f>
        <v>0</v>
      </c>
    </row>
    <row r="9" spans="1:8" x14ac:dyDescent="0.15">
      <c r="A9" s="1" t="s">
        <v>69</v>
      </c>
      <c r="B9" s="53">
        <v>0</v>
      </c>
      <c r="D9" s="1" t="s">
        <v>84</v>
      </c>
      <c r="E9" s="53">
        <v>0</v>
      </c>
      <c r="H9" s="2">
        <f>E9*24*'Bid Price'!$C$25</f>
        <v>0</v>
      </c>
    </row>
    <row r="10" spans="1:8" x14ac:dyDescent="0.15">
      <c r="A10" s="1" t="s">
        <v>73</v>
      </c>
      <c r="B10" s="53">
        <v>0</v>
      </c>
      <c r="D10" s="5" t="s">
        <v>85</v>
      </c>
      <c r="E10" s="53">
        <v>0</v>
      </c>
      <c r="H10" s="2">
        <f>E10*24*'Bid Price'!$C$25</f>
        <v>0</v>
      </c>
    </row>
    <row r="11" spans="1:8" x14ac:dyDescent="0.15">
      <c r="A11" s="1" t="s">
        <v>74</v>
      </c>
      <c r="B11" s="53">
        <v>0</v>
      </c>
      <c r="D11" s="1" t="s">
        <v>86</v>
      </c>
      <c r="E11" s="53">
        <v>0</v>
      </c>
      <c r="H11" s="2">
        <f>E11*24*'Bid Price'!$C$25</f>
        <v>0</v>
      </c>
    </row>
    <row r="12" spans="1:8" ht="13" thickBot="1" x14ac:dyDescent="0.2">
      <c r="A12" s="54" t="s">
        <v>72</v>
      </c>
      <c r="B12" s="55">
        <f>SUM(B6:B11)</f>
        <v>0</v>
      </c>
      <c r="D12" s="5" t="s">
        <v>87</v>
      </c>
      <c r="E12" s="53">
        <v>0</v>
      </c>
      <c r="H12" s="2">
        <f>E12*24*'Bid Price'!$C$25</f>
        <v>0</v>
      </c>
    </row>
    <row r="13" spans="1:8" x14ac:dyDescent="0.15">
      <c r="D13" s="1" t="s">
        <v>88</v>
      </c>
      <c r="E13" s="53">
        <v>0</v>
      </c>
      <c r="H13" s="2">
        <f>E13*24*'Bid Price'!$C$25</f>
        <v>0</v>
      </c>
    </row>
    <row r="14" spans="1:8" x14ac:dyDescent="0.15">
      <c r="D14" s="5" t="s">
        <v>89</v>
      </c>
      <c r="E14" s="53">
        <v>0</v>
      </c>
      <c r="H14" s="2">
        <f>E14*24*'Bid Price'!$C$25</f>
        <v>0</v>
      </c>
    </row>
    <row r="15" spans="1:8" x14ac:dyDescent="0.15">
      <c r="D15" s="1" t="s">
        <v>90</v>
      </c>
      <c r="E15" s="53">
        <v>0</v>
      </c>
      <c r="H15" s="2">
        <f>E15*24*'Bid Price'!$C$25</f>
        <v>0</v>
      </c>
    </row>
    <row r="16" spans="1:8" ht="16" x14ac:dyDescent="0.2">
      <c r="A16" s="58" t="s">
        <v>79</v>
      </c>
      <c r="B16" s="59"/>
      <c r="D16" s="5" t="s">
        <v>91</v>
      </c>
      <c r="E16" s="53">
        <v>0</v>
      </c>
      <c r="H16" s="2">
        <f>E16*24*'Bid Price'!$C$25</f>
        <v>0</v>
      </c>
    </row>
    <row r="17" spans="1:8" ht="16" x14ac:dyDescent="0.2">
      <c r="A17" s="56" t="s">
        <v>80</v>
      </c>
      <c r="B17" s="56" t="s">
        <v>108</v>
      </c>
      <c r="D17" s="1" t="s">
        <v>92</v>
      </c>
      <c r="E17" s="53">
        <v>0</v>
      </c>
      <c r="H17" s="2">
        <f>E17*24*'Bid Price'!$C$25</f>
        <v>0</v>
      </c>
    </row>
    <row r="18" spans="1:8" x14ac:dyDescent="0.15">
      <c r="A18" s="5" t="s">
        <v>75</v>
      </c>
      <c r="B18" s="53">
        <v>0</v>
      </c>
      <c r="D18" s="5" t="s">
        <v>93</v>
      </c>
      <c r="E18" s="53">
        <v>0</v>
      </c>
      <c r="H18" s="2">
        <f>E18*24*'Bid Price'!$C$25</f>
        <v>0</v>
      </c>
    </row>
    <row r="19" spans="1:8" x14ac:dyDescent="0.15">
      <c r="A19" s="1" t="s">
        <v>76</v>
      </c>
      <c r="B19" s="53">
        <v>0</v>
      </c>
      <c r="D19" s="1" t="s">
        <v>94</v>
      </c>
      <c r="E19" s="53">
        <v>0</v>
      </c>
      <c r="H19" s="2">
        <f>E19*24*'Bid Price'!$C$25</f>
        <v>0</v>
      </c>
    </row>
    <row r="20" spans="1:8" x14ac:dyDescent="0.15">
      <c r="A20" s="1" t="s">
        <v>77</v>
      </c>
      <c r="B20" s="53">
        <v>0</v>
      </c>
      <c r="D20" s="5" t="s">
        <v>95</v>
      </c>
      <c r="E20" s="53">
        <v>0</v>
      </c>
      <c r="H20" s="2">
        <f>E20*24*'Bid Price'!$C$25</f>
        <v>0</v>
      </c>
    </row>
    <row r="21" spans="1:8" x14ac:dyDescent="0.15">
      <c r="A21" s="1" t="s">
        <v>78</v>
      </c>
      <c r="B21" s="53">
        <v>0</v>
      </c>
      <c r="D21" s="1" t="s">
        <v>96</v>
      </c>
      <c r="E21" s="53">
        <v>0</v>
      </c>
      <c r="H21" s="2">
        <f>E21*24*'Bid Price'!$C$25</f>
        <v>0</v>
      </c>
    </row>
    <row r="22" spans="1:8" ht="13" thickBot="1" x14ac:dyDescent="0.2">
      <c r="A22" s="54" t="s">
        <v>79</v>
      </c>
      <c r="B22" s="55">
        <f>SUM(B18:B21)</f>
        <v>0</v>
      </c>
      <c r="D22" s="5" t="s">
        <v>97</v>
      </c>
      <c r="E22" s="53">
        <v>0</v>
      </c>
      <c r="H22" s="2">
        <f>E22*24*'Bid Price'!$C$25</f>
        <v>0</v>
      </c>
    </row>
    <row r="23" spans="1:8" x14ac:dyDescent="0.15">
      <c r="D23" s="1" t="s">
        <v>98</v>
      </c>
      <c r="E23" s="53">
        <v>0</v>
      </c>
      <c r="H23" s="2">
        <f>E23*24*'Bid Price'!$C$25</f>
        <v>0</v>
      </c>
    </row>
    <row r="24" spans="1:8" x14ac:dyDescent="0.15">
      <c r="D24" s="5" t="s">
        <v>99</v>
      </c>
      <c r="E24" s="53">
        <v>0</v>
      </c>
      <c r="H24" s="2">
        <f>E24*24*'Bid Price'!$C$25</f>
        <v>0</v>
      </c>
    </row>
    <row r="25" spans="1:8" x14ac:dyDescent="0.15">
      <c r="D25" s="1" t="s">
        <v>100</v>
      </c>
      <c r="E25" s="53">
        <v>0</v>
      </c>
      <c r="H25" s="2">
        <f>E25*24*'Bid Price'!$C$25</f>
        <v>0</v>
      </c>
    </row>
    <row r="26" spans="1:8" x14ac:dyDescent="0.15">
      <c r="D26" s="5" t="s">
        <v>101</v>
      </c>
      <c r="E26" s="53">
        <v>0</v>
      </c>
      <c r="H26" s="2">
        <f>E26*24*'Bid Price'!$C$25</f>
        <v>0</v>
      </c>
    </row>
    <row r="27" spans="1:8" x14ac:dyDescent="0.15">
      <c r="D27" s="1" t="s">
        <v>102</v>
      </c>
      <c r="E27" s="53">
        <v>0</v>
      </c>
      <c r="H27" s="2">
        <f>E27*24*'Bid Price'!$C$25</f>
        <v>0</v>
      </c>
    </row>
    <row r="28" spans="1:8" x14ac:dyDescent="0.15">
      <c r="D28" s="5" t="s">
        <v>103</v>
      </c>
      <c r="E28" s="53">
        <v>0</v>
      </c>
      <c r="H28" s="2">
        <f>E28*24*'Bid Price'!$C$25</f>
        <v>0</v>
      </c>
    </row>
    <row r="29" spans="1:8" x14ac:dyDescent="0.15">
      <c r="D29" s="1" t="s">
        <v>104</v>
      </c>
      <c r="E29" s="53">
        <v>0</v>
      </c>
      <c r="H29" s="2">
        <f>E29*24*'Bid Price'!$C$25</f>
        <v>0</v>
      </c>
    </row>
    <row r="30" spans="1:8" x14ac:dyDescent="0.15">
      <c r="D30" s="5" t="s">
        <v>105</v>
      </c>
      <c r="E30" s="53">
        <v>0</v>
      </c>
      <c r="H30" s="2">
        <f>E30*24*'Bid Price'!$C$25</f>
        <v>0</v>
      </c>
    </row>
  </sheetData>
  <phoneticPr fontId="1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81E1-E33F-4243-87C9-A97D839C862E}">
  <sheetPr codeName="Sheet4"/>
  <dimension ref="A1:B31"/>
  <sheetViews>
    <sheetView zoomScale="70" zoomScaleNormal="70" workbookViewId="0">
      <selection activeCell="B13" sqref="B13"/>
    </sheetView>
  </sheetViews>
  <sheetFormatPr baseColWidth="10" defaultColWidth="8.83203125" defaultRowHeight="12" x14ac:dyDescent="0.15"/>
  <cols>
    <col min="1" max="1" width="29.6640625" style="1" customWidth="1"/>
    <col min="2" max="2" width="34.83203125" style="1" customWidth="1"/>
    <col min="3" max="4" width="25.83203125" style="1" customWidth="1"/>
    <col min="5" max="16384" width="8.83203125" style="1"/>
  </cols>
  <sheetData>
    <row r="1" spans="1:2" s="9" customFormat="1" x14ac:dyDescent="0.15">
      <c r="A1" s="8" t="s">
        <v>0</v>
      </c>
      <c r="B1" s="8"/>
    </row>
    <row r="2" spans="1:2" s="10" customFormat="1" x14ac:dyDescent="0.15">
      <c r="A2" s="60" t="s">
        <v>133</v>
      </c>
    </row>
    <row r="5" spans="1:2" ht="16" x14ac:dyDescent="0.2">
      <c r="A5" s="58" t="s">
        <v>142</v>
      </c>
      <c r="B5" s="59"/>
    </row>
    <row r="6" spans="1:2" ht="16" x14ac:dyDescent="0.2">
      <c r="A6" s="57" t="s">
        <v>16</v>
      </c>
      <c r="B6" s="56" t="s">
        <v>134</v>
      </c>
    </row>
    <row r="7" spans="1:2" x14ac:dyDescent="0.15">
      <c r="A7" s="5" t="s">
        <v>81</v>
      </c>
      <c r="B7" s="66">
        <v>8</v>
      </c>
    </row>
    <row r="8" spans="1:2" x14ac:dyDescent="0.15">
      <c r="A8" s="1" t="s">
        <v>82</v>
      </c>
      <c r="B8" s="66">
        <v>8.64</v>
      </c>
    </row>
    <row r="9" spans="1:2" x14ac:dyDescent="0.15">
      <c r="A9" s="5" t="s">
        <v>83</v>
      </c>
      <c r="B9" s="66">
        <v>9.3312000000000008</v>
      </c>
    </row>
    <row r="10" spans="1:2" x14ac:dyDescent="0.15">
      <c r="A10" s="1" t="s">
        <v>84</v>
      </c>
      <c r="B10" s="66">
        <v>10.077696000000001</v>
      </c>
    </row>
    <row r="11" spans="1:2" x14ac:dyDescent="0.15">
      <c r="A11" s="5" t="s">
        <v>85</v>
      </c>
      <c r="B11" s="66">
        <v>10.883911680000002</v>
      </c>
    </row>
    <row r="12" spans="1:2" x14ac:dyDescent="0.15">
      <c r="A12" s="1" t="s">
        <v>86</v>
      </c>
      <c r="B12" s="66">
        <v>11.754624614400003</v>
      </c>
    </row>
    <row r="13" spans="1:2" x14ac:dyDescent="0.15">
      <c r="A13" s="5" t="s">
        <v>87</v>
      </c>
      <c r="B13" s="66">
        <v>12.694994583552004</v>
      </c>
    </row>
    <row r="14" spans="1:2" x14ac:dyDescent="0.15">
      <c r="A14" s="1" t="s">
        <v>88</v>
      </c>
      <c r="B14" s="66">
        <v>13.710594150236165</v>
      </c>
    </row>
    <row r="15" spans="1:2" x14ac:dyDescent="0.15">
      <c r="A15" s="5" t="s">
        <v>89</v>
      </c>
      <c r="B15" s="66">
        <v>14.80744168225506</v>
      </c>
    </row>
    <row r="16" spans="1:2" x14ac:dyDescent="0.15">
      <c r="A16" s="1" t="s">
        <v>90</v>
      </c>
      <c r="B16" s="66">
        <v>15.992037016835466</v>
      </c>
    </row>
    <row r="17" spans="1:2" x14ac:dyDescent="0.15">
      <c r="A17" s="5" t="s">
        <v>91</v>
      </c>
      <c r="B17" s="66">
        <v>17.271399978182306</v>
      </c>
    </row>
    <row r="18" spans="1:2" x14ac:dyDescent="0.15">
      <c r="A18" s="1" t="s">
        <v>92</v>
      </c>
      <c r="B18" s="66">
        <v>18.65311197643689</v>
      </c>
    </row>
    <row r="19" spans="1:2" x14ac:dyDescent="0.15">
      <c r="A19" s="5" t="s">
        <v>93</v>
      </c>
      <c r="B19" s="66">
        <v>20.145360934551842</v>
      </c>
    </row>
    <row r="20" spans="1:2" x14ac:dyDescent="0.15">
      <c r="A20" s="1" t="s">
        <v>94</v>
      </c>
      <c r="B20" s="66">
        <v>21.756989809315993</v>
      </c>
    </row>
    <row r="21" spans="1:2" x14ac:dyDescent="0.15">
      <c r="A21" s="5" t="s">
        <v>95</v>
      </c>
      <c r="B21" s="66">
        <v>23.497548994061273</v>
      </c>
    </row>
    <row r="22" spans="1:2" x14ac:dyDescent="0.15">
      <c r="A22" s="1" t="s">
        <v>96</v>
      </c>
      <c r="B22" s="66">
        <v>25.377352913586176</v>
      </c>
    </row>
    <row r="23" spans="1:2" x14ac:dyDescent="0.15">
      <c r="A23" s="5" t="s">
        <v>97</v>
      </c>
      <c r="B23" s="66">
        <v>27.407541146673072</v>
      </c>
    </row>
    <row r="24" spans="1:2" x14ac:dyDescent="0.15">
      <c r="A24" s="1" t="s">
        <v>98</v>
      </c>
      <c r="B24" s="66">
        <v>29.600144438406918</v>
      </c>
    </row>
    <row r="25" spans="1:2" x14ac:dyDescent="0.15">
      <c r="A25" s="5" t="s">
        <v>99</v>
      </c>
      <c r="B25" s="66">
        <v>31.968155993479474</v>
      </c>
    </row>
    <row r="26" spans="1:2" x14ac:dyDescent="0.15">
      <c r="A26" s="1" t="s">
        <v>100</v>
      </c>
      <c r="B26" s="66">
        <v>34.525608472957835</v>
      </c>
    </row>
    <row r="27" spans="1:2" x14ac:dyDescent="0.15">
      <c r="A27" s="5" t="s">
        <v>101</v>
      </c>
      <c r="B27" s="66">
        <v>37.287657150794466</v>
      </c>
    </row>
    <row r="28" spans="1:2" x14ac:dyDescent="0.15">
      <c r="A28" s="1" t="s">
        <v>102</v>
      </c>
      <c r="B28" s="66">
        <v>40.270669722858024</v>
      </c>
    </row>
    <row r="29" spans="1:2" x14ac:dyDescent="0.15">
      <c r="A29" s="5" t="s">
        <v>103</v>
      </c>
      <c r="B29" s="66">
        <v>43.492323300686671</v>
      </c>
    </row>
    <row r="30" spans="1:2" x14ac:dyDescent="0.15">
      <c r="A30" s="1" t="s">
        <v>104</v>
      </c>
      <c r="B30" s="66">
        <v>46.971709164741611</v>
      </c>
    </row>
    <row r="31" spans="1:2" x14ac:dyDescent="0.15">
      <c r="A31" s="5" t="s">
        <v>105</v>
      </c>
      <c r="B31" s="66">
        <v>50.729445897920947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58E76-701B-46FE-83D3-0E9F3167847D}">
  <sheetPr codeName="Sheet2"/>
  <dimension ref="A1:XFB24"/>
  <sheetViews>
    <sheetView workbookViewId="0">
      <selection activeCell="C20" sqref="C20:F20"/>
    </sheetView>
  </sheetViews>
  <sheetFormatPr baseColWidth="10" defaultColWidth="0" defaultRowHeight="12" x14ac:dyDescent="0.15"/>
  <cols>
    <col min="1" max="1" width="21.83203125" style="1" customWidth="1"/>
    <col min="2" max="2" width="18" style="1" bestFit="1" customWidth="1"/>
    <col min="3" max="3" width="17.83203125" style="1" bestFit="1" customWidth="1"/>
    <col min="4" max="4" width="17.1640625" style="1" customWidth="1"/>
    <col min="5" max="30" width="18.33203125" style="1" customWidth="1"/>
    <col min="31" max="16382" width="0" style="1" hidden="1"/>
    <col min="16383" max="16384" width="8.83203125" style="1" hidden="1"/>
  </cols>
  <sheetData>
    <row r="1" spans="1:29 16381:16381" x14ac:dyDescent="0.15">
      <c r="A1" s="1" t="s">
        <v>8</v>
      </c>
      <c r="B1" s="2">
        <f>'Bid Price'!G5</f>
        <v>0</v>
      </c>
    </row>
    <row r="2" spans="1:29 16381:16381" x14ac:dyDescent="0.15">
      <c r="B2" s="2"/>
    </row>
    <row r="3" spans="1:29 16381:16381" x14ac:dyDescent="0.15">
      <c r="A3" s="29" t="s">
        <v>16</v>
      </c>
      <c r="C3" s="3">
        <f>D3-1</f>
        <v>-1</v>
      </c>
      <c r="D3" s="3">
        <f>E3-1</f>
        <v>0</v>
      </c>
      <c r="E3" s="3">
        <v>1</v>
      </c>
      <c r="F3" s="3">
        <f>E3+1</f>
        <v>2</v>
      </c>
      <c r="G3" s="3">
        <f t="shared" ref="G3:AC3" si="0">F3+1</f>
        <v>3</v>
      </c>
      <c r="H3" s="3">
        <f t="shared" si="0"/>
        <v>4</v>
      </c>
      <c r="I3" s="3">
        <f t="shared" si="0"/>
        <v>5</v>
      </c>
      <c r="J3" s="3">
        <f t="shared" si="0"/>
        <v>6</v>
      </c>
      <c r="K3" s="3">
        <f t="shared" si="0"/>
        <v>7</v>
      </c>
      <c r="L3" s="3">
        <f t="shared" si="0"/>
        <v>8</v>
      </c>
      <c r="M3" s="3">
        <f t="shared" si="0"/>
        <v>9</v>
      </c>
      <c r="N3" s="3">
        <f t="shared" si="0"/>
        <v>10</v>
      </c>
      <c r="O3" s="3">
        <f t="shared" si="0"/>
        <v>11</v>
      </c>
      <c r="P3" s="3">
        <f t="shared" si="0"/>
        <v>12</v>
      </c>
      <c r="Q3" s="3">
        <f t="shared" si="0"/>
        <v>13</v>
      </c>
      <c r="R3" s="3">
        <f t="shared" si="0"/>
        <v>14</v>
      </c>
      <c r="S3" s="3">
        <f t="shared" si="0"/>
        <v>15</v>
      </c>
      <c r="T3" s="3">
        <f t="shared" si="0"/>
        <v>16</v>
      </c>
      <c r="U3" s="3">
        <f t="shared" si="0"/>
        <v>17</v>
      </c>
      <c r="V3" s="3">
        <f t="shared" si="0"/>
        <v>18</v>
      </c>
      <c r="W3" s="3">
        <f t="shared" si="0"/>
        <v>19</v>
      </c>
      <c r="X3" s="3">
        <f t="shared" si="0"/>
        <v>20</v>
      </c>
      <c r="Y3" s="3">
        <f t="shared" si="0"/>
        <v>21</v>
      </c>
      <c r="Z3" s="3">
        <f t="shared" si="0"/>
        <v>22</v>
      </c>
      <c r="AA3" s="3">
        <f t="shared" si="0"/>
        <v>23</v>
      </c>
      <c r="AB3" s="3">
        <f t="shared" si="0"/>
        <v>24</v>
      </c>
      <c r="AC3" s="3">
        <f t="shared" si="0"/>
        <v>25</v>
      </c>
    </row>
    <row r="4" spans="1:29 16381:16381" x14ac:dyDescent="0.15">
      <c r="A4" s="1" t="s">
        <v>31</v>
      </c>
      <c r="C4" s="63"/>
      <c r="D4" s="63"/>
      <c r="E4" s="63">
        <f>'Debt Workings'!B1</f>
        <v>0</v>
      </c>
      <c r="F4" s="63">
        <f>E7</f>
        <v>0</v>
      </c>
      <c r="G4" s="63">
        <f t="shared" ref="G4:N4" si="1">F7</f>
        <v>0</v>
      </c>
      <c r="H4" s="63">
        <f t="shared" si="1"/>
        <v>0</v>
      </c>
      <c r="I4" s="63">
        <f t="shared" si="1"/>
        <v>0</v>
      </c>
      <c r="J4" s="63">
        <f t="shared" si="1"/>
        <v>0</v>
      </c>
      <c r="K4" s="63">
        <f t="shared" si="1"/>
        <v>0</v>
      </c>
      <c r="L4" s="63">
        <f t="shared" si="1"/>
        <v>0</v>
      </c>
      <c r="M4" s="63">
        <f t="shared" si="1"/>
        <v>0</v>
      </c>
      <c r="N4" s="63">
        <f t="shared" si="1"/>
        <v>0</v>
      </c>
      <c r="O4" s="63">
        <f t="shared" ref="O4:AC4" si="2">N7</f>
        <v>0</v>
      </c>
      <c r="P4" s="63">
        <f t="shared" si="2"/>
        <v>0</v>
      </c>
      <c r="Q4" s="63">
        <f t="shared" si="2"/>
        <v>0</v>
      </c>
      <c r="R4" s="63">
        <f t="shared" si="2"/>
        <v>0</v>
      </c>
      <c r="S4" s="63">
        <f t="shared" si="2"/>
        <v>0</v>
      </c>
      <c r="T4" s="63">
        <f t="shared" si="2"/>
        <v>0</v>
      </c>
      <c r="U4" s="63">
        <f t="shared" si="2"/>
        <v>0</v>
      </c>
      <c r="V4" s="63">
        <f t="shared" si="2"/>
        <v>0</v>
      </c>
      <c r="W4" s="63">
        <f t="shared" si="2"/>
        <v>0</v>
      </c>
      <c r="X4" s="63">
        <f t="shared" si="2"/>
        <v>0</v>
      </c>
      <c r="Y4" s="63">
        <f t="shared" si="2"/>
        <v>0</v>
      </c>
      <c r="Z4" s="63">
        <f t="shared" si="2"/>
        <v>0</v>
      </c>
      <c r="AA4" s="63">
        <f t="shared" si="2"/>
        <v>0</v>
      </c>
      <c r="AB4" s="63">
        <f t="shared" si="2"/>
        <v>0</v>
      </c>
      <c r="AC4" s="63">
        <f t="shared" si="2"/>
        <v>0</v>
      </c>
    </row>
    <row r="5" spans="1:29 16381:16381" x14ac:dyDescent="0.15">
      <c r="A5" s="1" t="s">
        <v>29</v>
      </c>
      <c r="C5" s="63"/>
      <c r="D5" s="63"/>
      <c r="E5" s="63">
        <f>-PMT('Bid Price'!$F$12,'Bid Price'!$F$9,'Debt Workings'!$B$1,0)</f>
        <v>0</v>
      </c>
      <c r="F5" s="63">
        <f>-PMT('Bid Price'!$F$12,'Bid Price'!$F$9,'Debt Workings'!$B$1,0)</f>
        <v>0</v>
      </c>
      <c r="G5" s="63">
        <f>-PMT('Bid Price'!$F$12,'Bid Price'!$F$9,'Debt Workings'!$B$1,0)</f>
        <v>0</v>
      </c>
      <c r="H5" s="63">
        <f>-PMT('Bid Price'!$F$12,'Bid Price'!$F$9,'Debt Workings'!$B$1,0)</f>
        <v>0</v>
      </c>
      <c r="I5" s="63">
        <f>-PMT('Bid Price'!$F$12,'Bid Price'!$F$9,'Debt Workings'!$B$1,0)</f>
        <v>0</v>
      </c>
      <c r="J5" s="63">
        <f>-PMT('Bid Price'!$F$12,'Bid Price'!$F$9,'Debt Workings'!$B$1,0)</f>
        <v>0</v>
      </c>
      <c r="K5" s="63">
        <f>-PMT('Bid Price'!$F$12,'Bid Price'!$F$9,'Debt Workings'!$B$1,0)</f>
        <v>0</v>
      </c>
      <c r="L5" s="63">
        <f>-PMT('Bid Price'!$F$12,'Bid Price'!$F$9,'Debt Workings'!$B$1,0)</f>
        <v>0</v>
      </c>
      <c r="M5" s="63">
        <f>-PMT('Bid Price'!$F$12,'Bid Price'!$F$9,'Debt Workings'!$B$1,0)</f>
        <v>0</v>
      </c>
      <c r="N5" s="63">
        <f>-PMT('Bid Price'!$F$12,'Bid Price'!$F$9,'Debt Workings'!$B$1,0)</f>
        <v>0</v>
      </c>
      <c r="O5" s="63"/>
      <c r="P5" s="63">
        <f>-PMT('Bid Price'!$F$12,'Bid Price'!$F$9,C1,0)</f>
        <v>0</v>
      </c>
      <c r="Q5" s="63">
        <f>-PMT('Bid Price'!$F$12,'Bid Price'!$F$9,D1,0)</f>
        <v>0</v>
      </c>
      <c r="R5" s="63">
        <f>-PMT('Bid Price'!$F$12,'Bid Price'!$F$9,E1,0)</f>
        <v>0</v>
      </c>
      <c r="S5" s="63">
        <f>-PMT('Bid Price'!$F$12,'Bid Price'!$F$9,F1,0)</f>
        <v>0</v>
      </c>
      <c r="T5" s="63">
        <f>-PMT('Bid Price'!$F$12,'Bid Price'!$F$9,G1,0)</f>
        <v>0</v>
      </c>
      <c r="U5" s="63">
        <f>-PMT('Bid Price'!$F$12,'Bid Price'!$F$9,H1,0)</f>
        <v>0</v>
      </c>
      <c r="V5" s="63">
        <f>-PMT('Bid Price'!$F$12,'Bid Price'!$F$9,I1,0)</f>
        <v>0</v>
      </c>
      <c r="W5" s="63">
        <f>-PMT('Bid Price'!$F$12,'Bid Price'!$F$9,J1,0)</f>
        <v>0</v>
      </c>
      <c r="X5" s="63">
        <f>-PMT('Bid Price'!$F$12,'Bid Price'!$F$9,K1,0)</f>
        <v>0</v>
      </c>
      <c r="Y5" s="63">
        <f>-PMT('Bid Price'!$F$12,'Bid Price'!$F$9,L1,0)</f>
        <v>0</v>
      </c>
      <c r="Z5" s="63">
        <f>-PMT('Bid Price'!$F$12,'Bid Price'!$F$9,M1,0)</f>
        <v>0</v>
      </c>
      <c r="AA5" s="63">
        <f>-PMT('Bid Price'!$F$12,'Bid Price'!$F$9,N1,0)</f>
        <v>0</v>
      </c>
      <c r="AB5" s="63">
        <f>-PMT('Bid Price'!$F$12,'Bid Price'!$F$9,O1,0)</f>
        <v>0</v>
      </c>
      <c r="AC5" s="63">
        <f>-PMT('Bid Price'!$F$12,'Bid Price'!$F$9,P1,0)</f>
        <v>0</v>
      </c>
    </row>
    <row r="6" spans="1:29 16381:16381" x14ac:dyDescent="0.15">
      <c r="A6" s="1" t="s">
        <v>30</v>
      </c>
      <c r="C6" s="63"/>
      <c r="D6" s="63"/>
      <c r="E6" s="63">
        <f>-IFERROR(PPMT('Bid Price'!$F$12,E3,'Bid Price'!$F$9,'Debt Workings'!$B$1),0)</f>
        <v>0</v>
      </c>
      <c r="F6" s="63">
        <f>-IFERROR(PPMT('Bid Price'!$F$12,F3,'Bid Price'!$F$9,'Debt Workings'!$B$1),0)</f>
        <v>0</v>
      </c>
      <c r="G6" s="63">
        <f>-IFERROR(PPMT('Bid Price'!$F$12,G3,'Bid Price'!$F$9,'Debt Workings'!$B$1),0)</f>
        <v>0</v>
      </c>
      <c r="H6" s="63">
        <f>-IFERROR(PPMT('Bid Price'!$F$12,H3,'Bid Price'!$F$9,'Debt Workings'!$B$1),0)</f>
        <v>0</v>
      </c>
      <c r="I6" s="63">
        <f>-IFERROR(PPMT('Bid Price'!$F$12,I3,'Bid Price'!$F$9,'Debt Workings'!$B$1),0)</f>
        <v>0</v>
      </c>
      <c r="J6" s="63">
        <f>-IFERROR(PPMT('Bid Price'!$F$12,J3,'Bid Price'!$F$9,'Debt Workings'!$B$1),0)</f>
        <v>0</v>
      </c>
      <c r="K6" s="63">
        <f>-IFERROR(PPMT('Bid Price'!$F$12,K3,'Bid Price'!$F$9,'Debt Workings'!$B$1),0)</f>
        <v>0</v>
      </c>
      <c r="L6" s="63">
        <f>-IFERROR(PPMT('Bid Price'!$F$12,L3,'Bid Price'!$F$9,'Debt Workings'!$B$1),0)</f>
        <v>0</v>
      </c>
      <c r="M6" s="63">
        <f>-IFERROR(PPMT('Bid Price'!$F$12,M3,'Bid Price'!$F$9,'Debt Workings'!$B$1),0)</f>
        <v>0</v>
      </c>
      <c r="N6" s="63">
        <f>-IFERROR(PPMT('Bid Price'!$F$12,N3,'Bid Price'!$F$9,'Debt Workings'!$B$1),0)</f>
        <v>0</v>
      </c>
      <c r="O6" s="63">
        <f>-IFERROR(PPMT('Bid Price'!$F$12,O3,'Bid Price'!$F$9,'Debt Workings'!$B$1),0)</f>
        <v>0</v>
      </c>
      <c r="P6" s="63">
        <f>-IFERROR(PPMT('Bid Price'!$F$12,P3,'Bid Price'!$F$9,'Debt Workings'!$B$1),0)</f>
        <v>0</v>
      </c>
      <c r="Q6" s="63">
        <f>-IFERROR(PPMT('Bid Price'!$F$12,Q3,'Bid Price'!$F$9,'Debt Workings'!$B$1),0)</f>
        <v>0</v>
      </c>
      <c r="R6" s="63">
        <f>-IFERROR(PPMT('Bid Price'!$F$12,R3,'Bid Price'!$F$9,'Debt Workings'!$B$1),0)</f>
        <v>0</v>
      </c>
      <c r="S6" s="63">
        <f>-IFERROR(PPMT('Bid Price'!$F$12,S3,'Bid Price'!$F$9,'Debt Workings'!$B$1),0)</f>
        <v>0</v>
      </c>
      <c r="T6" s="63">
        <f>-IFERROR(PPMT('Bid Price'!$F$12,T3,'Bid Price'!$F$9,'Debt Workings'!$B$1),0)</f>
        <v>0</v>
      </c>
      <c r="U6" s="63">
        <f>-IFERROR(PPMT('Bid Price'!$F$12,U3,'Bid Price'!$F$9,'Debt Workings'!$B$1),0)</f>
        <v>0</v>
      </c>
      <c r="V6" s="63">
        <f>-IFERROR(PPMT('Bid Price'!$F$12,V3,'Bid Price'!$F$9,'Debt Workings'!$B$1),0)</f>
        <v>0</v>
      </c>
      <c r="W6" s="63">
        <f>-IFERROR(PPMT('Bid Price'!$F$12,W3,'Bid Price'!$F$9,'Debt Workings'!$B$1),0)</f>
        <v>0</v>
      </c>
      <c r="X6" s="63">
        <f>-IFERROR(PPMT('Bid Price'!$F$12,X3,'Bid Price'!$F$9,'Debt Workings'!$B$1),0)</f>
        <v>0</v>
      </c>
      <c r="Y6" s="63">
        <f>-IFERROR(PPMT('Bid Price'!$F$12,Y3,'Bid Price'!$F$9,'Debt Workings'!$B$1),0)</f>
        <v>0</v>
      </c>
      <c r="Z6" s="63">
        <f>-IFERROR(PPMT('Bid Price'!$F$12,Z3,'Bid Price'!$F$9,'Debt Workings'!$B$1),0)</f>
        <v>0</v>
      </c>
      <c r="AA6" s="63">
        <f>-IFERROR(PPMT('Bid Price'!$F$12,AA3,'Bid Price'!$F$9,'Debt Workings'!$B$1),0)</f>
        <v>0</v>
      </c>
      <c r="AB6" s="63">
        <f>-IFERROR(PPMT('Bid Price'!$F$12,AB3,'Bid Price'!$F$9,'Debt Workings'!$B$1),0)</f>
        <v>0</v>
      </c>
      <c r="AC6" s="63">
        <f>-IFERROR(PPMT('Bid Price'!$F$12,AC3,'Bid Price'!$F$9,'Debt Workings'!$B$1),0)</f>
        <v>0</v>
      </c>
    </row>
    <row r="7" spans="1:29 16381:16381" x14ac:dyDescent="0.15">
      <c r="A7" s="1" t="s">
        <v>21</v>
      </c>
      <c r="C7" s="63"/>
      <c r="D7" s="63"/>
      <c r="E7" s="63">
        <f>E4-E6</f>
        <v>0</v>
      </c>
      <c r="F7" s="63">
        <f t="shared" ref="F7:N7" si="3">F4-F6</f>
        <v>0</v>
      </c>
      <c r="G7" s="63">
        <f t="shared" si="3"/>
        <v>0</v>
      </c>
      <c r="H7" s="63">
        <f t="shared" si="3"/>
        <v>0</v>
      </c>
      <c r="I7" s="63">
        <f t="shared" si="3"/>
        <v>0</v>
      </c>
      <c r="J7" s="63">
        <f t="shared" si="3"/>
        <v>0</v>
      </c>
      <c r="K7" s="63">
        <f t="shared" si="3"/>
        <v>0</v>
      </c>
      <c r="L7" s="63">
        <f t="shared" si="3"/>
        <v>0</v>
      </c>
      <c r="M7" s="63">
        <f t="shared" si="3"/>
        <v>0</v>
      </c>
      <c r="N7" s="63">
        <f t="shared" si="3"/>
        <v>0</v>
      </c>
      <c r="O7" s="63">
        <f t="shared" ref="O7" si="4">O4-O6</f>
        <v>0</v>
      </c>
      <c r="P7" s="63">
        <f t="shared" ref="P7" si="5">P4-P6</f>
        <v>0</v>
      </c>
      <c r="Q7" s="63">
        <f t="shared" ref="Q7" si="6">Q4-Q6</f>
        <v>0</v>
      </c>
      <c r="R7" s="63">
        <f t="shared" ref="R7" si="7">R4-R6</f>
        <v>0</v>
      </c>
      <c r="S7" s="63">
        <f t="shared" ref="S7" si="8">S4-S6</f>
        <v>0</v>
      </c>
      <c r="T7" s="63">
        <f t="shared" ref="T7" si="9">T4-T6</f>
        <v>0</v>
      </c>
      <c r="U7" s="63">
        <f t="shared" ref="U7" si="10">U4-U6</f>
        <v>0</v>
      </c>
      <c r="V7" s="63">
        <f t="shared" ref="V7" si="11">V4-V6</f>
        <v>0</v>
      </c>
      <c r="W7" s="63">
        <f t="shared" ref="W7" si="12">W4-W6</f>
        <v>0</v>
      </c>
      <c r="X7" s="63">
        <f t="shared" ref="X7" si="13">X4-X6</f>
        <v>0</v>
      </c>
      <c r="Y7" s="63">
        <f t="shared" ref="Y7" si="14">Y4-Y6</f>
        <v>0</v>
      </c>
      <c r="Z7" s="63">
        <f t="shared" ref="Z7" si="15">Z4-Z6</f>
        <v>0</v>
      </c>
      <c r="AA7" s="63">
        <f t="shared" ref="AA7" si="16">AA4-AA6</f>
        <v>0</v>
      </c>
      <c r="AB7" s="63">
        <f t="shared" ref="AB7" si="17">AB4-AB6</f>
        <v>0</v>
      </c>
      <c r="AC7" s="63">
        <f t="shared" ref="AC7" si="18">AC4-AC6</f>
        <v>0</v>
      </c>
    </row>
    <row r="8" spans="1:29 16381:16381" x14ac:dyDescent="0.15">
      <c r="A8" s="1" t="s">
        <v>26</v>
      </c>
      <c r="C8" s="63"/>
      <c r="D8" s="63"/>
      <c r="E8" s="63">
        <f>E5-E6</f>
        <v>0</v>
      </c>
      <c r="F8" s="63">
        <f t="shared" ref="F8:N8" si="19">F5-F6</f>
        <v>0</v>
      </c>
      <c r="G8" s="63">
        <f t="shared" si="19"/>
        <v>0</v>
      </c>
      <c r="H8" s="63">
        <f t="shared" si="19"/>
        <v>0</v>
      </c>
      <c r="I8" s="63">
        <f t="shared" si="19"/>
        <v>0</v>
      </c>
      <c r="J8" s="63">
        <f t="shared" si="19"/>
        <v>0</v>
      </c>
      <c r="K8" s="63">
        <f t="shared" si="19"/>
        <v>0</v>
      </c>
      <c r="L8" s="63">
        <f t="shared" si="19"/>
        <v>0</v>
      </c>
      <c r="M8" s="63">
        <f t="shared" si="19"/>
        <v>0</v>
      </c>
      <c r="N8" s="63">
        <f t="shared" si="19"/>
        <v>0</v>
      </c>
      <c r="O8" s="63">
        <f t="shared" ref="O8:AC8" si="20">O5-O6</f>
        <v>0</v>
      </c>
      <c r="P8" s="63">
        <f t="shared" si="20"/>
        <v>0</v>
      </c>
      <c r="Q8" s="63">
        <f t="shared" si="20"/>
        <v>0</v>
      </c>
      <c r="R8" s="63">
        <f t="shared" si="20"/>
        <v>0</v>
      </c>
      <c r="S8" s="63">
        <f t="shared" si="20"/>
        <v>0</v>
      </c>
      <c r="T8" s="63">
        <f t="shared" si="20"/>
        <v>0</v>
      </c>
      <c r="U8" s="63">
        <f t="shared" si="20"/>
        <v>0</v>
      </c>
      <c r="V8" s="63">
        <f t="shared" si="20"/>
        <v>0</v>
      </c>
      <c r="W8" s="63">
        <f t="shared" si="20"/>
        <v>0</v>
      </c>
      <c r="X8" s="63">
        <f t="shared" si="20"/>
        <v>0</v>
      </c>
      <c r="Y8" s="63">
        <f t="shared" si="20"/>
        <v>0</v>
      </c>
      <c r="Z8" s="63">
        <f t="shared" si="20"/>
        <v>0</v>
      </c>
      <c r="AA8" s="63">
        <f t="shared" si="20"/>
        <v>0</v>
      </c>
      <c r="AB8" s="63">
        <f t="shared" si="20"/>
        <v>0</v>
      </c>
      <c r="AC8" s="63">
        <f t="shared" si="20"/>
        <v>0</v>
      </c>
    </row>
    <row r="11" spans="1:29 16381:16381" x14ac:dyDescent="0.15">
      <c r="A11" s="29" t="s">
        <v>65</v>
      </c>
      <c r="C11" s="3">
        <v>1</v>
      </c>
      <c r="D11" s="3">
        <v>2</v>
      </c>
      <c r="E11" s="3">
        <v>3</v>
      </c>
      <c r="F11" s="3">
        <v>4</v>
      </c>
      <c r="XFA11" s="1" t="s">
        <v>48</v>
      </c>
    </row>
    <row r="12" spans="1:29 16381:16381" x14ac:dyDescent="0.15">
      <c r="A12" s="1" t="s">
        <v>59</v>
      </c>
      <c r="C12" s="2">
        <v>0</v>
      </c>
      <c r="D12" s="2">
        <f>C14</f>
        <v>0</v>
      </c>
      <c r="E12" s="2">
        <f>D14</f>
        <v>0</v>
      </c>
      <c r="F12" s="2">
        <f>E14</f>
        <v>0</v>
      </c>
      <c r="G12" s="2"/>
      <c r="H12" s="2"/>
      <c r="I12" s="2"/>
      <c r="J12" s="2"/>
      <c r="K12" s="2"/>
      <c r="L12" s="2"/>
      <c r="M12" s="2"/>
      <c r="N12" s="2"/>
      <c r="O12" s="2"/>
      <c r="P12" s="2"/>
      <c r="Q12" s="2"/>
      <c r="R12" s="2"/>
      <c r="S12" s="2"/>
      <c r="T12" s="2"/>
      <c r="U12" s="2"/>
      <c r="V12" s="2"/>
      <c r="W12" s="2"/>
      <c r="X12" s="2"/>
      <c r="Y12" s="2"/>
      <c r="Z12" s="2"/>
      <c r="AA12" s="2"/>
      <c r="AB12" s="2"/>
      <c r="AC12" s="2"/>
      <c r="XFA12" s="1">
        <v>3511</v>
      </c>
    </row>
    <row r="13" spans="1:29 16381:16381" x14ac:dyDescent="0.15">
      <c r="A13" s="1" t="s">
        <v>60</v>
      </c>
      <c r="C13" s="2">
        <f>'Bid Price'!$G$5/4</f>
        <v>0</v>
      </c>
      <c r="D13" s="2">
        <f>'Bid Price'!$G$5/4</f>
        <v>0</v>
      </c>
      <c r="E13" s="2">
        <f>'Bid Price'!$G$5/4</f>
        <v>0</v>
      </c>
      <c r="F13" s="2">
        <f>'Bid Price'!$G$5/4</f>
        <v>0</v>
      </c>
      <c r="G13" s="2"/>
      <c r="H13" s="2"/>
      <c r="I13" s="2"/>
      <c r="J13" s="2"/>
      <c r="K13" s="2"/>
      <c r="L13" s="2"/>
      <c r="M13" s="2"/>
      <c r="N13" s="2"/>
      <c r="O13" s="2"/>
      <c r="P13" s="2"/>
      <c r="Q13" s="2"/>
      <c r="R13" s="2"/>
      <c r="S13" s="2"/>
      <c r="T13" s="2"/>
      <c r="U13" s="2"/>
      <c r="V13" s="2"/>
      <c r="W13" s="2"/>
      <c r="X13" s="2"/>
      <c r="Y13" s="2"/>
      <c r="Z13" s="2"/>
      <c r="AA13" s="2"/>
      <c r="AB13" s="2"/>
      <c r="AC13" s="2"/>
      <c r="XFA13" s="2">
        <f>XFA12*24*344</f>
        <v>28986816</v>
      </c>
    </row>
    <row r="14" spans="1:29 16381:16381" x14ac:dyDescent="0.15">
      <c r="A14" s="1" t="s">
        <v>21</v>
      </c>
      <c r="C14" s="2">
        <f>SUM(C12:C13)</f>
        <v>0</v>
      </c>
      <c r="D14" s="2">
        <f>SUM(D12:D13)</f>
        <v>0</v>
      </c>
      <c r="E14" s="2">
        <f>SUM(E12:E13)</f>
        <v>0</v>
      </c>
      <c r="F14" s="2">
        <f>SUM(F12:F13)</f>
        <v>0</v>
      </c>
      <c r="G14" s="2"/>
      <c r="H14" s="2"/>
      <c r="I14" s="2"/>
      <c r="J14" s="2"/>
      <c r="K14" s="2"/>
      <c r="L14" s="2"/>
      <c r="M14" s="2"/>
      <c r="N14" s="2"/>
      <c r="O14" s="2"/>
      <c r="P14" s="2"/>
      <c r="Q14" s="2"/>
      <c r="R14" s="2"/>
      <c r="S14" s="2"/>
      <c r="T14" s="2"/>
      <c r="U14" s="2"/>
      <c r="V14" s="2"/>
      <c r="W14" s="2"/>
      <c r="X14" s="2"/>
      <c r="Y14" s="2"/>
      <c r="Z14" s="2"/>
      <c r="AA14" s="2"/>
      <c r="AB14" s="2"/>
      <c r="AC14" s="2"/>
      <c r="XFA14" s="1">
        <f>'Debt Workings'!XFA18*5/6.5</f>
        <v>3815.3846153846152</v>
      </c>
    </row>
    <row r="15" spans="1:29 16381:16381" x14ac:dyDescent="0.15">
      <c r="XFA15" s="1">
        <f>XFA14/360*344</f>
        <v>3645.8119658119658</v>
      </c>
    </row>
    <row r="16" spans="1:29 16381:16381" x14ac:dyDescent="0.15">
      <c r="A16" s="35" t="s">
        <v>61</v>
      </c>
      <c r="B16" s="36">
        <f>ROUND(SUM(IDC_Copy),0)</f>
        <v>0</v>
      </c>
      <c r="C16" s="36">
        <f>C14*'Bid Price'!$F$12/2</f>
        <v>0</v>
      </c>
      <c r="D16" s="36">
        <f>D14*'Bid Price'!$F$12/2</f>
        <v>0</v>
      </c>
      <c r="E16" s="36">
        <f>E14*'Bid Price'!$F$12/2</f>
        <v>0</v>
      </c>
      <c r="F16" s="36">
        <f>F14*'Bid Price'!$F$12/2</f>
        <v>0</v>
      </c>
    </row>
    <row r="17" spans="1:6 16381:16382" x14ac:dyDescent="0.15">
      <c r="A17" s="35" t="s">
        <v>62</v>
      </c>
      <c r="B17" s="36">
        <f>ROUND(SUM(IDC_Paste),0)</f>
        <v>0</v>
      </c>
      <c r="C17" s="36">
        <v>0</v>
      </c>
      <c r="D17" s="36">
        <v>0</v>
      </c>
      <c r="E17" s="36">
        <v>0</v>
      </c>
      <c r="F17" s="36">
        <v>0</v>
      </c>
      <c r="XFA17" s="1" t="s">
        <v>49</v>
      </c>
    </row>
    <row r="18" spans="1:6 16381:16382" x14ac:dyDescent="0.15">
      <c r="A18" s="35"/>
      <c r="B18" s="37" t="str">
        <f>IF(B16-B17=0,"OK","Check")</f>
        <v>OK</v>
      </c>
      <c r="C18" s="35"/>
      <c r="D18" s="35"/>
      <c r="E18" s="35"/>
      <c r="F18" s="35"/>
      <c r="XFA18" s="1">
        <f>4960</f>
        <v>4960</v>
      </c>
      <c r="XFB18" s="1" t="s">
        <v>51</v>
      </c>
    </row>
    <row r="19" spans="1:6 16381:16382" x14ac:dyDescent="0.15">
      <c r="A19" s="38" t="s">
        <v>63</v>
      </c>
      <c r="B19" s="39">
        <f>SUM(C19:F19)</f>
        <v>0</v>
      </c>
      <c r="C19" s="39">
        <f>'Bid Price'!$G$5*'Bid Price'!$F$13/4</f>
        <v>0</v>
      </c>
      <c r="D19" s="39">
        <f>'Bid Price'!$G$5*'Bid Price'!$F$13/4</f>
        <v>0</v>
      </c>
      <c r="E19" s="39">
        <f>'Bid Price'!$G$5*'Bid Price'!$F$13/4</f>
        <v>0</v>
      </c>
      <c r="F19" s="39">
        <f>'Bid Price'!$G$5*'Bid Price'!$F$13/4</f>
        <v>0</v>
      </c>
      <c r="XFA19" s="1">
        <f>XFA18/1000</f>
        <v>4.96</v>
      </c>
      <c r="XFB19" s="1" t="s">
        <v>50</v>
      </c>
    </row>
    <row r="20" spans="1:6 16381:16382" x14ac:dyDescent="0.15">
      <c r="A20" s="38" t="s">
        <v>64</v>
      </c>
      <c r="B20" s="39">
        <f>SUM(C20:F20)</f>
        <v>0</v>
      </c>
      <c r="C20" s="39">
        <v>0</v>
      </c>
      <c r="D20" s="39">
        <v>0</v>
      </c>
      <c r="E20" s="39">
        <v>0</v>
      </c>
      <c r="F20" s="39">
        <v>0</v>
      </c>
      <c r="XFA20" s="6">
        <f>XFA19*72%</f>
        <v>3.5711999999999997</v>
      </c>
    </row>
    <row r="21" spans="1:6 16381:16382" x14ac:dyDescent="0.15">
      <c r="A21" s="38"/>
      <c r="B21" s="40" t="str">
        <f>IF(B19-B20=0,"OK","Check")</f>
        <v>OK</v>
      </c>
      <c r="C21" s="38"/>
      <c r="D21" s="38"/>
      <c r="E21" s="38"/>
      <c r="F21" s="38"/>
      <c r="XFA21" s="7">
        <f>XFA20*1000</f>
        <v>3571.2</v>
      </c>
    </row>
    <row r="24" spans="1:6 16381:16382" x14ac:dyDescent="0.15">
      <c r="C24"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Bid Price</vt:lpstr>
      <vt:lpstr>O&amp;M Cost</vt:lpstr>
      <vt:lpstr>BWR (GoS Share Factor)</vt:lpstr>
      <vt:lpstr>FF_Check</vt:lpstr>
      <vt:lpstr>FF_COPY</vt:lpstr>
      <vt:lpstr>FF_PASTE</vt:lpstr>
      <vt:lpstr>IDC_Check</vt:lpstr>
      <vt:lpstr>IDC_Copy</vt:lpstr>
      <vt:lpstr>IDC_Paste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Danish Alam</dc:creator>
  <cp:lastModifiedBy>Farooq, Khan &amp; Mirza</cp:lastModifiedBy>
  <dcterms:created xsi:type="dcterms:W3CDTF">2024-06-03T12:25:32Z</dcterms:created>
  <dcterms:modified xsi:type="dcterms:W3CDTF">2024-08-15T19:49:00Z</dcterms:modified>
</cp:coreProperties>
</file>